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01"/>
  <workbookPr saveExternalLinkValues="0" codeName="ThisWorkbook"/>
  <mc:AlternateContent xmlns:mc="http://schemas.openxmlformats.org/markup-compatibility/2006">
    <mc:Choice Requires="x15">
      <x15ac:absPath xmlns:x15ac="http://schemas.microsoft.com/office/spreadsheetml/2010/11/ac" url="C:\Users\vidic_sanjin\OneDrive - Poslovni sustavi doo\Dokumenti\web\webps\2023\"/>
    </mc:Choice>
  </mc:AlternateContent>
  <xr:revisionPtr revIDLastSave="0" documentId="8_{1986761E-BBA7-45B0-9A54-A2D202B26389}" xr6:coauthVersionLast="47" xr6:coauthVersionMax="47" xr10:uidLastSave="{00000000-0000-0000-0000-000000000000}"/>
  <bookViews>
    <workbookView xWindow="-120" yWindow="-120" windowWidth="29040" windowHeight="15720" firstSheet="1" activeTab="2"/>
  </bookViews>
  <sheets>
    <sheet name="Skriveni" sheetId="14" state="hidden" r:id="rId1"/>
    <sheet name="Naslovna" sheetId="18" r:id="rId2"/>
    <sheet name="RefStr" sheetId="4" r:id="rId3"/>
    <sheet name="Bilanca" sheetId="1" r:id="rId4"/>
    <sheet name="RDG" sheetId="2" r:id="rId5"/>
    <sheet name="Dodatni" sheetId="10" r:id="rId6"/>
    <sheet name="NT_I" sheetId="6" r:id="rId7"/>
    <sheet name="NT_D" sheetId="5" r:id="rId8"/>
    <sheet name="PK" sheetId="20" r:id="rId9"/>
    <sheet name="Kont" sheetId="8" r:id="rId10"/>
  </sheets>
  <definedNames>
    <definedName name="OLE_LINK3" localSheetId="3">Bilanca!$A$8</definedName>
    <definedName name="_xlnm.Print_Area" localSheetId="3">Bilanca!$A$2:$J$135</definedName>
    <definedName name="_xlnm.Print_Area" localSheetId="5">Dodatni!$A$2:$J$88</definedName>
    <definedName name="_xlnm.Print_Area" localSheetId="9">Kont!$A$8:$J$121</definedName>
    <definedName name="_xlnm.Print_Area" localSheetId="1">Naslovna!$A$2:$J$11</definedName>
    <definedName name="_xlnm.Print_Area" localSheetId="7">NT_D!$A$2:$J$54</definedName>
    <definedName name="_xlnm.Print_Area" localSheetId="6">NT_I!$A$2:$J$60</definedName>
    <definedName name="_xlnm.Print_Area" localSheetId="8">PK!$A$5:$Z$66</definedName>
    <definedName name="_xlnm.Print_Area" localSheetId="4">RDG!$A$2:$J$113</definedName>
    <definedName name="_xlnm.Print_Area" localSheetId="2">RefStr!$A$10:$N$78</definedName>
    <definedName name="_xlnm.Print_Titles" localSheetId="3">Bilanca!$2:$7</definedName>
    <definedName name="_xlnm.Print_Titles" localSheetId="5">Dodatni!$2:$7</definedName>
    <definedName name="_xlnm.Print_Titles" localSheetId="9">Kont!$7:$7</definedName>
    <definedName name="_xlnm.Print_Titles" localSheetId="8">PK!$A:$H,PK!$2:$8</definedName>
    <definedName name="_xlnm.Print_Titles" localSheetId="4">RDG!$2:$7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 i="20" l="1"/>
  <c r="I64" i="20"/>
  <c r="I91" i="2"/>
  <c r="I108" i="2"/>
  <c r="J224" i="14"/>
  <c r="I98" i="2"/>
  <c r="O120" i="8"/>
  <c r="P120" i="8" s="1"/>
  <c r="N120" i="8" s="1"/>
  <c r="L120" i="8" s="1"/>
  <c r="D7" i="4"/>
  <c r="U8" i="8"/>
  <c r="U7" i="8"/>
  <c r="O8" i="8"/>
  <c r="AA4" i="8"/>
  <c r="P66" i="8"/>
  <c r="W2" i="8"/>
  <c r="D39" i="4"/>
  <c r="U10" i="8"/>
  <c r="O27" i="8"/>
  <c r="L27" i="8"/>
  <c r="B27" i="8"/>
  <c r="U9" i="8"/>
  <c r="N27" i="8"/>
  <c r="D46" i="4"/>
  <c r="AA7" i="8"/>
  <c r="N34" i="8"/>
  <c r="L34" i="8"/>
  <c r="D42" i="4"/>
  <c r="W9" i="8"/>
  <c r="O35" i="8"/>
  <c r="L35" i="8"/>
  <c r="B35" i="8"/>
  <c r="W8" i="8"/>
  <c r="N35" i="8"/>
  <c r="S8" i="8"/>
  <c r="S9" i="8"/>
  <c r="S2" i="8"/>
  <c r="S5" i="8"/>
  <c r="O106" i="8"/>
  <c r="P8" i="8"/>
  <c r="S6" i="8"/>
  <c r="N15" i="8"/>
  <c r="S10" i="8"/>
  <c r="S3" i="8"/>
  <c r="O36" i="8"/>
  <c r="L36" i="8"/>
  <c r="B36" i="8"/>
  <c r="P10" i="8"/>
  <c r="N56" i="8"/>
  <c r="U2" i="8"/>
  <c r="O19" i="8"/>
  <c r="U3" i="8"/>
  <c r="P19" i="8"/>
  <c r="N19" i="8"/>
  <c r="Y5" i="8"/>
  <c r="U4" i="8"/>
  <c r="N20" i="8"/>
  <c r="U5" i="8"/>
  <c r="P31" i="8"/>
  <c r="U6" i="8"/>
  <c r="O22" i="8"/>
  <c r="Q22" i="8"/>
  <c r="N23" i="8"/>
  <c r="L23" i="8"/>
  <c r="B23" i="8"/>
  <c r="W3" i="8"/>
  <c r="W4" i="8"/>
  <c r="O24" i="8"/>
  <c r="Q24" i="8"/>
  <c r="W5" i="8"/>
  <c r="W6" i="8"/>
  <c r="P25" i="8"/>
  <c r="W7" i="8"/>
  <c r="O26" i="8"/>
  <c r="S7" i="8"/>
  <c r="N31" i="8"/>
  <c r="AA6" i="8"/>
  <c r="O30" i="8"/>
  <c r="AA5" i="8"/>
  <c r="N36" i="8"/>
  <c r="S4" i="8"/>
  <c r="N37" i="8"/>
  <c r="L37" i="8"/>
  <c r="B37" i="8"/>
  <c r="Y2" i="8"/>
  <c r="Y3" i="8"/>
  <c r="P38" i="8"/>
  <c r="Q8" i="8"/>
  <c r="O48" i="8"/>
  <c r="Y6" i="8"/>
  <c r="Y8" i="8"/>
  <c r="O40" i="8"/>
  <c r="S40" i="8"/>
  <c r="AI40" i="8"/>
  <c r="AA2" i="8"/>
  <c r="AA3" i="8"/>
  <c r="O41" i="8"/>
  <c r="AA10" i="8"/>
  <c r="N42" i="8"/>
  <c r="L42" i="8"/>
  <c r="B42" i="8"/>
  <c r="N45" i="8"/>
  <c r="L45" i="8"/>
  <c r="O45" i="8"/>
  <c r="N46" i="8"/>
  <c r="O46" i="8"/>
  <c r="N48" i="8"/>
  <c r="N49" i="8"/>
  <c r="L49" i="8"/>
  <c r="Q10" i="8"/>
  <c r="AK50" i="8"/>
  <c r="I90" i="2"/>
  <c r="N53" i="8"/>
  <c r="O54" i="8"/>
  <c r="P9" i="8"/>
  <c r="O56" i="8"/>
  <c r="Q9" i="8"/>
  <c r="N74" i="8"/>
  <c r="L74" i="8"/>
  <c r="O74" i="8"/>
  <c r="N75" i="8"/>
  <c r="O75" i="8"/>
  <c r="N77" i="8"/>
  <c r="O77" i="8"/>
  <c r="N79" i="8"/>
  <c r="O79" i="8"/>
  <c r="N80" i="8"/>
  <c r="L80" i="8"/>
  <c r="O80" i="8"/>
  <c r="N81" i="8"/>
  <c r="O81" i="8"/>
  <c r="N82" i="8"/>
  <c r="O82" i="8"/>
  <c r="N83" i="8"/>
  <c r="O83" i="8"/>
  <c r="L83" i="8"/>
  <c r="N84" i="8"/>
  <c r="L84" i="8"/>
  <c r="O84" i="8"/>
  <c r="N85" i="8"/>
  <c r="O85" i="8"/>
  <c r="N86" i="8"/>
  <c r="O86" i="8"/>
  <c r="N87" i="8"/>
  <c r="L87" i="8"/>
  <c r="B87" i="8"/>
  <c r="O87" i="8"/>
  <c r="N106" i="8"/>
  <c r="L106" i="8"/>
  <c r="B106" i="8"/>
  <c r="O107" i="8"/>
  <c r="AA8" i="8"/>
  <c r="N112" i="8"/>
  <c r="AA9" i="8"/>
  <c r="N115" i="8"/>
  <c r="Y9" i="8"/>
  <c r="P116" i="8"/>
  <c r="Y4" i="8"/>
  <c r="Q117" i="8"/>
  <c r="J2" i="14"/>
  <c r="K2" i="14"/>
  <c r="I2" i="14"/>
  <c r="J5" i="14"/>
  <c r="I5" i="14"/>
  <c r="K5" i="14"/>
  <c r="J6" i="14"/>
  <c r="I6" i="14"/>
  <c r="K6" i="14"/>
  <c r="J7" i="14"/>
  <c r="I7" i="14"/>
  <c r="K7" i="14"/>
  <c r="J8" i="14"/>
  <c r="I8" i="14"/>
  <c r="K8" i="14"/>
  <c r="J9" i="14"/>
  <c r="K9" i="14"/>
  <c r="J10" i="14"/>
  <c r="I10" i="14"/>
  <c r="K10" i="14"/>
  <c r="J12" i="14"/>
  <c r="I12" i="14"/>
  <c r="K12" i="14"/>
  <c r="J13" i="14"/>
  <c r="K13" i="14"/>
  <c r="I13" i="14"/>
  <c r="J14" i="14"/>
  <c r="K14" i="14"/>
  <c r="I14" i="14"/>
  <c r="J15" i="14"/>
  <c r="K15" i="14"/>
  <c r="J16" i="14"/>
  <c r="I16" i="14"/>
  <c r="K16" i="14"/>
  <c r="J17" i="14"/>
  <c r="K17" i="14"/>
  <c r="J18" i="14"/>
  <c r="I18" i="14"/>
  <c r="K18" i="14"/>
  <c r="J19" i="14"/>
  <c r="I19" i="14"/>
  <c r="K19" i="14"/>
  <c r="J20" i="14"/>
  <c r="I20" i="14"/>
  <c r="K20" i="14"/>
  <c r="J22" i="14"/>
  <c r="K22" i="14"/>
  <c r="I22" i="14"/>
  <c r="J23" i="14"/>
  <c r="I23" i="14"/>
  <c r="K23" i="14"/>
  <c r="J24" i="14"/>
  <c r="K24" i="14"/>
  <c r="J25" i="14"/>
  <c r="I25" i="14"/>
  <c r="K25" i="14"/>
  <c r="J26" i="14"/>
  <c r="K26" i="14"/>
  <c r="I26" i="14"/>
  <c r="J27" i="14"/>
  <c r="K27" i="14"/>
  <c r="I27" i="14"/>
  <c r="J28" i="14"/>
  <c r="I28" i="14"/>
  <c r="K28" i="14"/>
  <c r="J29" i="14"/>
  <c r="I29" i="14"/>
  <c r="K29" i="14"/>
  <c r="J30" i="14"/>
  <c r="I30" i="14"/>
  <c r="K30" i="14"/>
  <c r="J31" i="14"/>
  <c r="K31" i="14"/>
  <c r="I31" i="14"/>
  <c r="J33" i="14"/>
  <c r="K33" i="14"/>
  <c r="J34" i="14"/>
  <c r="I34" i="14"/>
  <c r="K34" i="14"/>
  <c r="J35" i="14"/>
  <c r="K35" i="14"/>
  <c r="I35" i="14"/>
  <c r="J36" i="14"/>
  <c r="K36" i="14"/>
  <c r="I36" i="14"/>
  <c r="J37" i="14"/>
  <c r="K37" i="14"/>
  <c r="I37" i="14"/>
  <c r="J40" i="14"/>
  <c r="K40" i="14"/>
  <c r="J41" i="14"/>
  <c r="K41" i="14"/>
  <c r="I41" i="14"/>
  <c r="J42" i="14"/>
  <c r="K42" i="14"/>
  <c r="J43" i="14"/>
  <c r="I43" i="14"/>
  <c r="K43" i="14"/>
  <c r="J44" i="14"/>
  <c r="K44" i="14"/>
  <c r="I44" i="14"/>
  <c r="J45" i="14"/>
  <c r="K45" i="14"/>
  <c r="I45" i="14"/>
  <c r="J46" i="14"/>
  <c r="K46" i="14"/>
  <c r="I46" i="14"/>
  <c r="J48" i="14"/>
  <c r="I48" i="14"/>
  <c r="K48" i="14"/>
  <c r="J49" i="14"/>
  <c r="I49" i="14"/>
  <c r="K49" i="14"/>
  <c r="J50" i="14"/>
  <c r="K50" i="14"/>
  <c r="I50" i="14"/>
  <c r="J51" i="14"/>
  <c r="K51" i="14"/>
  <c r="J52" i="14"/>
  <c r="I52" i="14"/>
  <c r="K52" i="14"/>
  <c r="J53" i="14"/>
  <c r="K53" i="14"/>
  <c r="H53" i="14"/>
  <c r="I53" i="14"/>
  <c r="J55" i="14"/>
  <c r="K55" i="14"/>
  <c r="I55" i="14"/>
  <c r="J56" i="14"/>
  <c r="I56" i="14"/>
  <c r="K56" i="14"/>
  <c r="J57" i="14"/>
  <c r="I57" i="14"/>
  <c r="K57" i="14"/>
  <c r="J58" i="14"/>
  <c r="K58" i="14"/>
  <c r="J59" i="14"/>
  <c r="I59" i="14"/>
  <c r="K59" i="14"/>
  <c r="J60" i="14"/>
  <c r="I60" i="14"/>
  <c r="K60" i="14"/>
  <c r="J61" i="14"/>
  <c r="I61" i="14"/>
  <c r="K61" i="14"/>
  <c r="J62" i="14"/>
  <c r="I62" i="14"/>
  <c r="K62" i="14"/>
  <c r="J63" i="14"/>
  <c r="K63" i="14"/>
  <c r="I63" i="14"/>
  <c r="J64" i="14"/>
  <c r="I64" i="14"/>
  <c r="K64" i="14"/>
  <c r="J65" i="14"/>
  <c r="K65" i="14"/>
  <c r="J67" i="14"/>
  <c r="K67" i="14"/>
  <c r="I67" i="14"/>
  <c r="J69" i="14"/>
  <c r="I69" i="14"/>
  <c r="K69" i="14"/>
  <c r="J70" i="14"/>
  <c r="I70" i="14"/>
  <c r="K70" i="14"/>
  <c r="J72" i="14"/>
  <c r="I72" i="14"/>
  <c r="K72" i="14"/>
  <c r="J73" i="14"/>
  <c r="I73" i="14"/>
  <c r="K73" i="14"/>
  <c r="J74" i="14"/>
  <c r="K74" i="14"/>
  <c r="I74" i="14"/>
  <c r="J75" i="14"/>
  <c r="I75" i="14"/>
  <c r="K75" i="14"/>
  <c r="J76" i="14"/>
  <c r="I76" i="14"/>
  <c r="K76" i="14"/>
  <c r="J77" i="14"/>
  <c r="K77" i="14"/>
  <c r="J79" i="14"/>
  <c r="I79" i="14"/>
  <c r="K79" i="14"/>
  <c r="J80" i="14"/>
  <c r="K80" i="14"/>
  <c r="I80" i="14"/>
  <c r="J81" i="14"/>
  <c r="I81" i="14"/>
  <c r="K81" i="14"/>
  <c r="J82" i="14"/>
  <c r="I82" i="14"/>
  <c r="K82" i="14"/>
  <c r="J83" i="14"/>
  <c r="K83" i="14"/>
  <c r="J85" i="14"/>
  <c r="H85" i="14"/>
  <c r="K85" i="14"/>
  <c r="J86" i="14"/>
  <c r="I86" i="14"/>
  <c r="K86" i="14"/>
  <c r="J88" i="14"/>
  <c r="K88" i="14"/>
  <c r="J89" i="14"/>
  <c r="K89" i="14"/>
  <c r="J90" i="14"/>
  <c r="K90" i="14"/>
  <c r="I90" i="14"/>
  <c r="J92" i="14"/>
  <c r="I92" i="14"/>
  <c r="K92" i="14"/>
  <c r="J93" i="14"/>
  <c r="I93" i="14"/>
  <c r="K93" i="14"/>
  <c r="J94" i="14"/>
  <c r="I94" i="14"/>
  <c r="K94" i="14"/>
  <c r="J95" i="14"/>
  <c r="K95" i="14"/>
  <c r="J96" i="14"/>
  <c r="I96" i="14"/>
  <c r="K96" i="14"/>
  <c r="J97" i="14"/>
  <c r="K97" i="14"/>
  <c r="I97" i="14"/>
  <c r="J99" i="14"/>
  <c r="I99" i="14"/>
  <c r="K99" i="14"/>
  <c r="J100" i="14"/>
  <c r="I100" i="14"/>
  <c r="K100" i="14"/>
  <c r="J101" i="14"/>
  <c r="I101" i="14"/>
  <c r="K101" i="14"/>
  <c r="J102" i="14"/>
  <c r="I102" i="14"/>
  <c r="K102" i="14"/>
  <c r="J103" i="14"/>
  <c r="I103" i="14"/>
  <c r="K103" i="14"/>
  <c r="J104" i="14"/>
  <c r="K104" i="14"/>
  <c r="J105" i="14"/>
  <c r="I105" i="14"/>
  <c r="K105" i="14"/>
  <c r="J106" i="14"/>
  <c r="K106" i="14"/>
  <c r="I106" i="14"/>
  <c r="J107" i="14"/>
  <c r="I107" i="14"/>
  <c r="K107" i="14"/>
  <c r="J108" i="14"/>
  <c r="I108" i="14"/>
  <c r="K108" i="14"/>
  <c r="J109" i="14"/>
  <c r="I109" i="14"/>
  <c r="K109" i="14"/>
  <c r="J111" i="14"/>
  <c r="K111" i="14"/>
  <c r="H111" i="14"/>
  <c r="J112" i="14"/>
  <c r="K112" i="14"/>
  <c r="J113" i="14"/>
  <c r="K113" i="14"/>
  <c r="J114" i="14"/>
  <c r="K114" i="14"/>
  <c r="I114" i="14"/>
  <c r="J115" i="14"/>
  <c r="I115" i="14"/>
  <c r="K115" i="14"/>
  <c r="J116" i="14"/>
  <c r="I116" i="14"/>
  <c r="K116" i="14"/>
  <c r="J117" i="14"/>
  <c r="K117" i="14"/>
  <c r="J118" i="14"/>
  <c r="I118" i="14"/>
  <c r="K118" i="14"/>
  <c r="J119" i="14"/>
  <c r="K119" i="14"/>
  <c r="J120" i="14"/>
  <c r="K120" i="14"/>
  <c r="H120" i="14"/>
  <c r="J121" i="14"/>
  <c r="K121" i="14"/>
  <c r="J122" i="14"/>
  <c r="I122" i="14"/>
  <c r="K122" i="14"/>
  <c r="J123" i="14"/>
  <c r="I123" i="14"/>
  <c r="K123" i="14"/>
  <c r="J124" i="14"/>
  <c r="I124" i="14"/>
  <c r="K124" i="14"/>
  <c r="J125" i="14"/>
  <c r="K125" i="14"/>
  <c r="J127" i="14"/>
  <c r="I127" i="14"/>
  <c r="K127" i="14"/>
  <c r="J129" i="14"/>
  <c r="K129" i="14"/>
  <c r="J130" i="14"/>
  <c r="K130" i="14"/>
  <c r="J131" i="14"/>
  <c r="I131" i="14"/>
  <c r="K131" i="14"/>
  <c r="J132" i="14"/>
  <c r="K132" i="14"/>
  <c r="J133" i="14"/>
  <c r="I133" i="14"/>
  <c r="K133" i="14"/>
  <c r="J135" i="14"/>
  <c r="I135" i="14"/>
  <c r="K135" i="14"/>
  <c r="J137" i="14"/>
  <c r="K137" i="14"/>
  <c r="I137" i="14"/>
  <c r="J138" i="14"/>
  <c r="K138" i="14"/>
  <c r="I138" i="14"/>
  <c r="J139" i="14"/>
  <c r="K139" i="14"/>
  <c r="H139" i="14"/>
  <c r="J141" i="14"/>
  <c r="K141" i="14"/>
  <c r="J142" i="14"/>
  <c r="K142" i="14"/>
  <c r="H142" i="14"/>
  <c r="J143" i="14"/>
  <c r="K143" i="14"/>
  <c r="I143" i="14"/>
  <c r="J144" i="14"/>
  <c r="K144" i="14"/>
  <c r="J145" i="14"/>
  <c r="K145" i="14"/>
  <c r="I145" i="14"/>
  <c r="J147" i="14"/>
  <c r="K147" i="14"/>
  <c r="I147" i="14"/>
  <c r="J148" i="14"/>
  <c r="K148" i="14"/>
  <c r="J150" i="14"/>
  <c r="K150" i="14"/>
  <c r="I150" i="14"/>
  <c r="J151" i="14"/>
  <c r="K151" i="14"/>
  <c r="J152" i="14"/>
  <c r="K152" i="14"/>
  <c r="J153" i="14"/>
  <c r="K153" i="14"/>
  <c r="J154" i="14"/>
  <c r="K154" i="14"/>
  <c r="J155" i="14"/>
  <c r="K155" i="14"/>
  <c r="I155" i="14"/>
  <c r="J156" i="14"/>
  <c r="K156" i="14"/>
  <c r="J158" i="14"/>
  <c r="I158" i="14"/>
  <c r="K158" i="14"/>
  <c r="J159" i="14"/>
  <c r="I159" i="14"/>
  <c r="K159" i="14"/>
  <c r="J160" i="14"/>
  <c r="K160" i="14"/>
  <c r="I160" i="14"/>
  <c r="J161" i="14"/>
  <c r="K161" i="14"/>
  <c r="J162" i="14"/>
  <c r="K162" i="14"/>
  <c r="H162" i="14"/>
  <c r="J163" i="14"/>
  <c r="K163" i="14"/>
  <c r="I163" i="14"/>
  <c r="J164" i="14"/>
  <c r="H164" i="14"/>
  <c r="K164" i="14"/>
  <c r="J165" i="14"/>
  <c r="K165" i="14"/>
  <c r="J166" i="14"/>
  <c r="K166" i="14"/>
  <c r="H166" i="14"/>
  <c r="J167" i="14"/>
  <c r="I167" i="14"/>
  <c r="K167" i="14"/>
  <c r="J169" i="14"/>
  <c r="K169" i="14"/>
  <c r="J170" i="14"/>
  <c r="K170" i="14"/>
  <c r="I170" i="14"/>
  <c r="J171" i="14"/>
  <c r="K171" i="14"/>
  <c r="H171" i="14"/>
  <c r="J172" i="14"/>
  <c r="I172" i="14"/>
  <c r="K172" i="14"/>
  <c r="J173" i="14"/>
  <c r="I173" i="14"/>
  <c r="K173" i="14"/>
  <c r="J174" i="14"/>
  <c r="K174" i="14"/>
  <c r="I174" i="14"/>
  <c r="J175" i="14"/>
  <c r="I175" i="14"/>
  <c r="K175" i="14"/>
  <c r="J176" i="14"/>
  <c r="I176" i="14"/>
  <c r="K176" i="14"/>
  <c r="J177" i="14"/>
  <c r="K177" i="14"/>
  <c r="I177" i="14"/>
  <c r="J178" i="14"/>
  <c r="K178" i="14"/>
  <c r="I178" i="14"/>
  <c r="J179" i="14"/>
  <c r="I179" i="14"/>
  <c r="K179" i="14"/>
  <c r="J185" i="14"/>
  <c r="K185" i="14"/>
  <c r="H185" i="14"/>
  <c r="J190" i="14"/>
  <c r="I190" i="14"/>
  <c r="K190" i="14"/>
  <c r="J191" i="14"/>
  <c r="K191" i="14"/>
  <c r="I191" i="14"/>
  <c r="J192" i="14"/>
  <c r="I192" i="14"/>
  <c r="K192" i="14"/>
  <c r="J203" i="14"/>
  <c r="K203" i="14"/>
  <c r="J204" i="14"/>
  <c r="K204" i="14"/>
  <c r="I204" i="14"/>
  <c r="J205" i="14"/>
  <c r="K205" i="14"/>
  <c r="J206" i="14"/>
  <c r="J207" i="14"/>
  <c r="J208" i="14"/>
  <c r="I208" i="14"/>
  <c r="K208" i="14"/>
  <c r="J209" i="14"/>
  <c r="K209" i="14"/>
  <c r="J210" i="14"/>
  <c r="I210" i="14"/>
  <c r="K210" i="14"/>
  <c r="J211" i="14"/>
  <c r="K211" i="14"/>
  <c r="J212" i="14"/>
  <c r="K212" i="14"/>
  <c r="I212" i="14"/>
  <c r="J213" i="14"/>
  <c r="I213" i="14"/>
  <c r="K213" i="14"/>
  <c r="J214" i="14"/>
  <c r="J215" i="14"/>
  <c r="K215" i="14"/>
  <c r="J216" i="14"/>
  <c r="I216" i="14"/>
  <c r="K216" i="14"/>
  <c r="J217" i="14"/>
  <c r="K217" i="14"/>
  <c r="I217" i="14"/>
  <c r="J218" i="14"/>
  <c r="K218" i="14"/>
  <c r="J219" i="14"/>
  <c r="K219" i="14"/>
  <c r="J220" i="14"/>
  <c r="I220" i="14"/>
  <c r="K220" i="14"/>
  <c r="J221" i="14"/>
  <c r="K221" i="14"/>
  <c r="I221" i="14"/>
  <c r="J222" i="14"/>
  <c r="I222" i="14"/>
  <c r="K222" i="14"/>
  <c r="J223" i="14"/>
  <c r="K223" i="14"/>
  <c r="J227" i="14"/>
  <c r="K227" i="14"/>
  <c r="J228" i="14"/>
  <c r="K228" i="14"/>
  <c r="J229" i="14"/>
  <c r="K229" i="14"/>
  <c r="I229" i="14"/>
  <c r="J230" i="14"/>
  <c r="K230" i="14"/>
  <c r="J231" i="14"/>
  <c r="K231" i="14"/>
  <c r="J232" i="14"/>
  <c r="K232" i="14"/>
  <c r="I232" i="14"/>
  <c r="J233" i="14"/>
  <c r="K233" i="14"/>
  <c r="I233" i="14"/>
  <c r="J234" i="14"/>
  <c r="I234" i="14"/>
  <c r="K234" i="14"/>
  <c r="J235" i="14"/>
  <c r="K235" i="14"/>
  <c r="H235" i="14"/>
  <c r="J236" i="14"/>
  <c r="I236" i="14"/>
  <c r="K236" i="14"/>
  <c r="J237" i="14"/>
  <c r="K237" i="14"/>
  <c r="J238" i="14"/>
  <c r="K238" i="14"/>
  <c r="J239" i="14"/>
  <c r="I239" i="14"/>
  <c r="K239" i="14"/>
  <c r="J240" i="14"/>
  <c r="K240" i="14"/>
  <c r="I240" i="14"/>
  <c r="J241" i="14"/>
  <c r="I241" i="14"/>
  <c r="K241" i="14"/>
  <c r="J242" i="14"/>
  <c r="I242" i="14"/>
  <c r="K242" i="14"/>
  <c r="J243" i="14"/>
  <c r="K243" i="14"/>
  <c r="J244" i="14"/>
  <c r="I244" i="14"/>
  <c r="K244" i="14"/>
  <c r="J245" i="14"/>
  <c r="I245" i="14"/>
  <c r="K245" i="14"/>
  <c r="J246" i="14"/>
  <c r="K246" i="14"/>
  <c r="J247" i="14"/>
  <c r="I247" i="14"/>
  <c r="K247" i="14"/>
  <c r="J248" i="14"/>
  <c r="K248" i="14"/>
  <c r="I248" i="14"/>
  <c r="J249" i="14"/>
  <c r="K249" i="14"/>
  <c r="I249" i="14"/>
  <c r="J250" i="14"/>
  <c r="I250" i="14"/>
  <c r="K250" i="14"/>
  <c r="J251" i="14"/>
  <c r="K251" i="14"/>
  <c r="H251" i="14"/>
  <c r="J252" i="14"/>
  <c r="K252" i="14"/>
  <c r="H252" i="14"/>
  <c r="J253" i="14"/>
  <c r="K253" i="14"/>
  <c r="J254" i="14"/>
  <c r="K254" i="14"/>
  <c r="H254" i="14"/>
  <c r="J255" i="14"/>
  <c r="I255" i="14"/>
  <c r="K255" i="14"/>
  <c r="J256" i="14"/>
  <c r="K256" i="14"/>
  <c r="J257" i="14"/>
  <c r="I257" i="14"/>
  <c r="K257" i="14"/>
  <c r="J258" i="14"/>
  <c r="K258" i="14"/>
  <c r="J259" i="14"/>
  <c r="K259" i="14"/>
  <c r="I259" i="14"/>
  <c r="J260" i="14"/>
  <c r="I260" i="14"/>
  <c r="K260" i="14"/>
  <c r="J261" i="14"/>
  <c r="K261" i="14"/>
  <c r="J262" i="14"/>
  <c r="K262" i="14"/>
  <c r="J263" i="14"/>
  <c r="I263" i="14"/>
  <c r="K263" i="14"/>
  <c r="J264" i="14"/>
  <c r="K264" i="14"/>
  <c r="I264" i="14"/>
  <c r="J265" i="14"/>
  <c r="K265" i="14"/>
  <c r="I265" i="14"/>
  <c r="J266" i="14"/>
  <c r="K266" i="14"/>
  <c r="J267" i="14"/>
  <c r="I267" i="14"/>
  <c r="K267" i="14"/>
  <c r="J268" i="14"/>
  <c r="I268" i="14"/>
  <c r="K268" i="14"/>
  <c r="J269" i="14"/>
  <c r="H269" i="14"/>
  <c r="K269" i="14"/>
  <c r="I269" i="14"/>
  <c r="J270" i="14"/>
  <c r="I270" i="14"/>
  <c r="K270" i="14"/>
  <c r="J271" i="14"/>
  <c r="H271" i="14"/>
  <c r="K271" i="14"/>
  <c r="J272" i="14"/>
  <c r="I272" i="14"/>
  <c r="K272" i="14"/>
  <c r="J273" i="14"/>
  <c r="K273" i="14"/>
  <c r="H273" i="14"/>
  <c r="J274" i="14"/>
  <c r="K274" i="14"/>
  <c r="I274" i="14"/>
  <c r="J275" i="14"/>
  <c r="I275" i="14"/>
  <c r="K275" i="14"/>
  <c r="J276" i="14"/>
  <c r="I276" i="14"/>
  <c r="K276" i="14"/>
  <c r="J277" i="14"/>
  <c r="K277" i="14"/>
  <c r="J278" i="14"/>
  <c r="K278" i="14"/>
  <c r="I278" i="14"/>
  <c r="J279" i="14"/>
  <c r="K279" i="14"/>
  <c r="H279" i="14"/>
  <c r="J280" i="14"/>
  <c r="I280" i="14"/>
  <c r="K280" i="14"/>
  <c r="J281" i="14"/>
  <c r="K281" i="14"/>
  <c r="J282" i="14"/>
  <c r="I282" i="14"/>
  <c r="K282" i="14"/>
  <c r="J283" i="14"/>
  <c r="I283" i="14"/>
  <c r="K283" i="14"/>
  <c r="J284" i="14"/>
  <c r="I284" i="14"/>
  <c r="K284" i="14"/>
  <c r="J285" i="14"/>
  <c r="K285" i="14"/>
  <c r="I285" i="14"/>
  <c r="J286" i="14"/>
  <c r="I286" i="14"/>
  <c r="K286" i="14"/>
  <c r="J287" i="14"/>
  <c r="I287" i="14"/>
  <c r="K287" i="14"/>
  <c r="J288" i="14"/>
  <c r="K288" i="14"/>
  <c r="H288" i="14"/>
  <c r="J290" i="14"/>
  <c r="I290" i="14"/>
  <c r="K290" i="14"/>
  <c r="J291" i="14"/>
  <c r="K291" i="14"/>
  <c r="I291" i="14"/>
  <c r="J292" i="14"/>
  <c r="I292" i="14"/>
  <c r="K292" i="14"/>
  <c r="J293" i="14"/>
  <c r="K293" i="14"/>
  <c r="I293" i="14"/>
  <c r="J294" i="14"/>
  <c r="K294" i="14"/>
  <c r="H294" i="14"/>
  <c r="J295" i="14"/>
  <c r="K295" i="14"/>
  <c r="J296" i="14"/>
  <c r="I296" i="14"/>
  <c r="K296" i="14"/>
  <c r="J297" i="14"/>
  <c r="I297" i="14"/>
  <c r="K297" i="14"/>
  <c r="J298" i="14"/>
  <c r="H298" i="14"/>
  <c r="K298" i="14"/>
  <c r="J299" i="14"/>
  <c r="I299" i="14"/>
  <c r="K299" i="14"/>
  <c r="J301" i="14"/>
  <c r="I301" i="14"/>
  <c r="K301" i="14"/>
  <c r="J302" i="14"/>
  <c r="I302" i="14"/>
  <c r="K302" i="14"/>
  <c r="J303" i="14"/>
  <c r="K303" i="14"/>
  <c r="I303" i="14"/>
  <c r="J304" i="14"/>
  <c r="I304" i="14"/>
  <c r="K304" i="14"/>
  <c r="J305" i="14"/>
  <c r="K305" i="14"/>
  <c r="J306" i="14"/>
  <c r="I306" i="14"/>
  <c r="K306" i="14"/>
  <c r="J307" i="14"/>
  <c r="I307" i="14"/>
  <c r="K307" i="14"/>
  <c r="J308" i="14"/>
  <c r="K308" i="14"/>
  <c r="H308" i="14"/>
  <c r="J311" i="14"/>
  <c r="I311" i="14"/>
  <c r="K311" i="14"/>
  <c r="J312" i="14"/>
  <c r="I312" i="14"/>
  <c r="K312" i="14"/>
  <c r="J313" i="14"/>
  <c r="K313" i="14"/>
  <c r="I313" i="14"/>
  <c r="J314" i="14"/>
  <c r="I314" i="14"/>
  <c r="K314" i="14"/>
  <c r="J316" i="14"/>
  <c r="K316" i="14"/>
  <c r="J317" i="14"/>
  <c r="I317" i="14"/>
  <c r="K317" i="14"/>
  <c r="J319" i="14"/>
  <c r="K319" i="14"/>
  <c r="J320" i="14"/>
  <c r="I320" i="14"/>
  <c r="K320" i="14"/>
  <c r="J321" i="14"/>
  <c r="I321" i="14"/>
  <c r="K321" i="14"/>
  <c r="J322" i="14"/>
  <c r="I322" i="14"/>
  <c r="K322" i="14"/>
  <c r="J323" i="14"/>
  <c r="K323" i="14"/>
  <c r="J324" i="14"/>
  <c r="I324" i="14"/>
  <c r="K324" i="14"/>
  <c r="J326" i="14"/>
  <c r="K326" i="14"/>
  <c r="I326" i="14"/>
  <c r="J327" i="14"/>
  <c r="I327" i="14"/>
  <c r="K327" i="14"/>
  <c r="J328" i="14"/>
  <c r="K328" i="14"/>
  <c r="J329" i="14"/>
  <c r="K329" i="14"/>
  <c r="J330" i="14"/>
  <c r="K330" i="14"/>
  <c r="J333" i="14"/>
  <c r="I333" i="14"/>
  <c r="K333" i="14"/>
  <c r="J334" i="14"/>
  <c r="K334" i="14"/>
  <c r="I334" i="14"/>
  <c r="J335" i="14"/>
  <c r="K335" i="14"/>
  <c r="J336" i="14"/>
  <c r="I336" i="14"/>
  <c r="K336" i="14"/>
  <c r="J338" i="14"/>
  <c r="I338" i="14"/>
  <c r="K338" i="14"/>
  <c r="J339" i="14"/>
  <c r="I339" i="14"/>
  <c r="K339" i="14"/>
  <c r="J340" i="14"/>
  <c r="K340" i="14"/>
  <c r="I340" i="14"/>
  <c r="J341" i="14"/>
  <c r="I341" i="14"/>
  <c r="K341" i="14"/>
  <c r="J342" i="14"/>
  <c r="I342" i="14"/>
  <c r="K342" i="14"/>
  <c r="J345" i="14"/>
  <c r="I345" i="14"/>
  <c r="K345" i="14"/>
  <c r="J347" i="14"/>
  <c r="K347" i="14"/>
  <c r="J349" i="14"/>
  <c r="I349" i="14"/>
  <c r="K349" i="14"/>
  <c r="J350" i="14"/>
  <c r="K350" i="14"/>
  <c r="I350" i="14"/>
  <c r="J351" i="14"/>
  <c r="K351" i="14"/>
  <c r="J352" i="14"/>
  <c r="I352" i="14"/>
  <c r="K352" i="14"/>
  <c r="J353" i="14"/>
  <c r="K353" i="14"/>
  <c r="I353" i="14"/>
  <c r="J355" i="14"/>
  <c r="K355" i="14"/>
  <c r="J356" i="14"/>
  <c r="I356" i="14"/>
  <c r="K356" i="14"/>
  <c r="J357" i="14"/>
  <c r="I357" i="14"/>
  <c r="K357" i="14"/>
  <c r="J358" i="14"/>
  <c r="I358" i="14"/>
  <c r="K358" i="14"/>
  <c r="J359" i="14"/>
  <c r="I359" i="14"/>
  <c r="K359" i="14"/>
  <c r="J360" i="14"/>
  <c r="I360" i="14"/>
  <c r="K360" i="14"/>
  <c r="J363" i="14"/>
  <c r="K363" i="14"/>
  <c r="I363" i="14"/>
  <c r="J364" i="14"/>
  <c r="I364" i="14"/>
  <c r="K364" i="14"/>
  <c r="J365" i="14"/>
  <c r="K365" i="14"/>
  <c r="J366" i="14"/>
  <c r="I366" i="14"/>
  <c r="K366" i="14"/>
  <c r="J367" i="14"/>
  <c r="K367" i="14"/>
  <c r="J368" i="14"/>
  <c r="K368" i="14"/>
  <c r="I368" i="14"/>
  <c r="J370" i="14"/>
  <c r="I370" i="14"/>
  <c r="K370" i="14"/>
  <c r="J371" i="14"/>
  <c r="I371" i="14"/>
  <c r="K371" i="14"/>
  <c r="J372" i="14"/>
  <c r="I372" i="14"/>
  <c r="K372" i="14"/>
  <c r="H372" i="14"/>
  <c r="J373" i="14"/>
  <c r="K373" i="14"/>
  <c r="I373" i="14"/>
  <c r="J374" i="14"/>
  <c r="I374" i="14"/>
  <c r="K374" i="14"/>
  <c r="J377" i="14"/>
  <c r="K377" i="14"/>
  <c r="J378" i="14"/>
  <c r="I378" i="14"/>
  <c r="K378" i="14"/>
  <c r="J379" i="14"/>
  <c r="I379" i="14"/>
  <c r="K379" i="14"/>
  <c r="J380" i="14"/>
  <c r="I380" i="14"/>
  <c r="K380" i="14"/>
  <c r="J382" i="14"/>
  <c r="I382" i="14"/>
  <c r="K382" i="14"/>
  <c r="J383" i="14"/>
  <c r="K383" i="14"/>
  <c r="J384" i="14"/>
  <c r="K384" i="14"/>
  <c r="I384" i="14"/>
  <c r="J385" i="14"/>
  <c r="I385" i="14"/>
  <c r="K385" i="14"/>
  <c r="J386" i="14"/>
  <c r="I386" i="14"/>
  <c r="K386" i="14"/>
  <c r="J389" i="14"/>
  <c r="K389" i="14"/>
  <c r="J391" i="14"/>
  <c r="I391" i="14"/>
  <c r="K391" i="14"/>
  <c r="J393" i="14"/>
  <c r="K393" i="14"/>
  <c r="L393" i="14"/>
  <c r="M393" i="14"/>
  <c r="N393" i="14"/>
  <c r="O393" i="14"/>
  <c r="P393" i="14"/>
  <c r="Q393" i="14"/>
  <c r="R393" i="14"/>
  <c r="S393" i="14"/>
  <c r="T393" i="14"/>
  <c r="U393" i="14"/>
  <c r="V393" i="14"/>
  <c r="W393" i="14"/>
  <c r="X393" i="14"/>
  <c r="Z393" i="14"/>
  <c r="J394" i="14"/>
  <c r="K394" i="14"/>
  <c r="L394" i="14"/>
  <c r="M394" i="14"/>
  <c r="N394" i="14"/>
  <c r="O394" i="14"/>
  <c r="P394" i="14"/>
  <c r="Q394" i="14"/>
  <c r="R394" i="14"/>
  <c r="S394" i="14"/>
  <c r="T394" i="14"/>
  <c r="U394" i="14"/>
  <c r="V394" i="14"/>
  <c r="W394" i="14"/>
  <c r="X394" i="14"/>
  <c r="Z394" i="14"/>
  <c r="J395" i="14"/>
  <c r="K395" i="14"/>
  <c r="L395" i="14"/>
  <c r="M395" i="14"/>
  <c r="N395" i="14"/>
  <c r="O395" i="14"/>
  <c r="P395" i="14"/>
  <c r="Q395" i="14"/>
  <c r="R395" i="14"/>
  <c r="S395" i="14"/>
  <c r="T395" i="14"/>
  <c r="U395" i="14"/>
  <c r="V395" i="14"/>
  <c r="W395" i="14"/>
  <c r="X395" i="14"/>
  <c r="Z395" i="14"/>
  <c r="J397" i="14"/>
  <c r="K397" i="14"/>
  <c r="L397" i="14"/>
  <c r="M397" i="14"/>
  <c r="N397" i="14"/>
  <c r="O397" i="14"/>
  <c r="P397" i="14"/>
  <c r="Q397" i="14"/>
  <c r="R397" i="14"/>
  <c r="S397" i="14"/>
  <c r="T397" i="14"/>
  <c r="U397" i="14"/>
  <c r="V397" i="14"/>
  <c r="W397" i="14"/>
  <c r="X397" i="14"/>
  <c r="Z397" i="14"/>
  <c r="J398" i="14"/>
  <c r="K398" i="14"/>
  <c r="L398" i="14"/>
  <c r="M398" i="14"/>
  <c r="N398" i="14"/>
  <c r="O398" i="14"/>
  <c r="P398" i="14"/>
  <c r="Q398" i="14"/>
  <c r="R398" i="14"/>
  <c r="S398" i="14"/>
  <c r="T398" i="14"/>
  <c r="U398" i="14"/>
  <c r="V398" i="14"/>
  <c r="W398" i="14"/>
  <c r="X398" i="14"/>
  <c r="Z398" i="14"/>
  <c r="J399" i="14"/>
  <c r="K399" i="14"/>
  <c r="L399" i="14"/>
  <c r="M399" i="14"/>
  <c r="N399" i="14"/>
  <c r="O399" i="14"/>
  <c r="P399" i="14"/>
  <c r="Q399" i="14"/>
  <c r="R399" i="14"/>
  <c r="S399" i="14"/>
  <c r="T399" i="14"/>
  <c r="U399" i="14"/>
  <c r="V399" i="14"/>
  <c r="W399" i="14"/>
  <c r="X399" i="14"/>
  <c r="Z399" i="14"/>
  <c r="J400" i="14"/>
  <c r="K400" i="14"/>
  <c r="L400" i="14"/>
  <c r="M400" i="14"/>
  <c r="N400" i="14"/>
  <c r="O400" i="14"/>
  <c r="P400" i="14"/>
  <c r="Q400" i="14"/>
  <c r="R400" i="14"/>
  <c r="S400" i="14"/>
  <c r="T400" i="14"/>
  <c r="U400" i="14"/>
  <c r="V400" i="14"/>
  <c r="W400" i="14"/>
  <c r="X400" i="14"/>
  <c r="Z400" i="14"/>
  <c r="J401" i="14"/>
  <c r="K401" i="14"/>
  <c r="L401" i="14"/>
  <c r="M401" i="14"/>
  <c r="N401" i="14"/>
  <c r="O401" i="14"/>
  <c r="P401" i="14"/>
  <c r="Q401" i="14"/>
  <c r="R401" i="14"/>
  <c r="S401" i="14"/>
  <c r="T401" i="14"/>
  <c r="U401" i="14"/>
  <c r="V401" i="14"/>
  <c r="W401" i="14"/>
  <c r="X401" i="14"/>
  <c r="Z401" i="14"/>
  <c r="J402" i="14"/>
  <c r="K402" i="14"/>
  <c r="L402" i="14"/>
  <c r="M402" i="14"/>
  <c r="N402" i="14"/>
  <c r="O402" i="14"/>
  <c r="P402" i="14"/>
  <c r="Q402" i="14"/>
  <c r="R402" i="14"/>
  <c r="S402" i="14"/>
  <c r="T402" i="14"/>
  <c r="U402" i="14"/>
  <c r="V402" i="14"/>
  <c r="W402" i="14"/>
  <c r="X402" i="14"/>
  <c r="Z402" i="14"/>
  <c r="J403" i="14"/>
  <c r="K403" i="14"/>
  <c r="L403" i="14"/>
  <c r="M403" i="14"/>
  <c r="N403" i="14"/>
  <c r="O403" i="14"/>
  <c r="P403" i="14"/>
  <c r="Q403" i="14"/>
  <c r="R403" i="14"/>
  <c r="S403" i="14"/>
  <c r="T403" i="14"/>
  <c r="U403" i="14"/>
  <c r="V403" i="14"/>
  <c r="W403" i="14"/>
  <c r="X403" i="14"/>
  <c r="Z403" i="14"/>
  <c r="J404" i="14"/>
  <c r="K404" i="14"/>
  <c r="L404" i="14"/>
  <c r="M404" i="14"/>
  <c r="N404" i="14"/>
  <c r="O404" i="14"/>
  <c r="P404" i="14"/>
  <c r="Q404" i="14"/>
  <c r="R404" i="14"/>
  <c r="S404" i="14"/>
  <c r="T404" i="14"/>
  <c r="U404" i="14"/>
  <c r="V404" i="14"/>
  <c r="W404" i="14"/>
  <c r="X404" i="14"/>
  <c r="Z404" i="14"/>
  <c r="J405" i="14"/>
  <c r="K405" i="14"/>
  <c r="L405" i="14"/>
  <c r="M405" i="14"/>
  <c r="N405" i="14"/>
  <c r="O405" i="14"/>
  <c r="P405" i="14"/>
  <c r="Q405" i="14"/>
  <c r="R405" i="14"/>
  <c r="S405" i="14"/>
  <c r="T405" i="14"/>
  <c r="U405" i="14"/>
  <c r="V405" i="14"/>
  <c r="W405" i="14"/>
  <c r="X405" i="14"/>
  <c r="Z405" i="14"/>
  <c r="J406" i="14"/>
  <c r="K406" i="14"/>
  <c r="L406" i="14"/>
  <c r="M406" i="14"/>
  <c r="N406" i="14"/>
  <c r="O406" i="14"/>
  <c r="P406" i="14"/>
  <c r="Q406" i="14"/>
  <c r="R406" i="14"/>
  <c r="S406" i="14"/>
  <c r="T406" i="14"/>
  <c r="U406" i="14"/>
  <c r="V406" i="14"/>
  <c r="W406" i="14"/>
  <c r="X406" i="14"/>
  <c r="Z406" i="14"/>
  <c r="J407" i="14"/>
  <c r="K407" i="14"/>
  <c r="L407" i="14"/>
  <c r="M407" i="14"/>
  <c r="N407" i="14"/>
  <c r="O407" i="14"/>
  <c r="P407" i="14"/>
  <c r="Q407" i="14"/>
  <c r="R407" i="14"/>
  <c r="S407" i="14"/>
  <c r="T407" i="14"/>
  <c r="U407" i="14"/>
  <c r="V407" i="14"/>
  <c r="W407" i="14"/>
  <c r="X407" i="14"/>
  <c r="Z407" i="14"/>
  <c r="J408" i="14"/>
  <c r="K408" i="14"/>
  <c r="L408" i="14"/>
  <c r="M408" i="14"/>
  <c r="N408" i="14"/>
  <c r="O408" i="14"/>
  <c r="P408" i="14"/>
  <c r="Q408" i="14"/>
  <c r="R408" i="14"/>
  <c r="S408" i="14"/>
  <c r="T408" i="14"/>
  <c r="U408" i="14"/>
  <c r="V408" i="14"/>
  <c r="W408" i="14"/>
  <c r="X408" i="14"/>
  <c r="Z408" i="14"/>
  <c r="J409" i="14"/>
  <c r="K409" i="14"/>
  <c r="L409" i="14"/>
  <c r="M409" i="14"/>
  <c r="N409" i="14"/>
  <c r="O409" i="14"/>
  <c r="P409" i="14"/>
  <c r="Q409" i="14"/>
  <c r="R409" i="14"/>
  <c r="S409" i="14"/>
  <c r="T409" i="14"/>
  <c r="U409" i="14"/>
  <c r="V409" i="14"/>
  <c r="W409" i="14"/>
  <c r="X409" i="14"/>
  <c r="Z409" i="14"/>
  <c r="J410" i="14"/>
  <c r="K410" i="14"/>
  <c r="L410" i="14"/>
  <c r="M410" i="14"/>
  <c r="N410" i="14"/>
  <c r="O410" i="14"/>
  <c r="P410" i="14"/>
  <c r="Q410" i="14"/>
  <c r="R410" i="14"/>
  <c r="S410" i="14"/>
  <c r="T410" i="14"/>
  <c r="U410" i="14"/>
  <c r="V410" i="14"/>
  <c r="W410" i="14"/>
  <c r="X410" i="14"/>
  <c r="Z410" i="14"/>
  <c r="J411" i="14"/>
  <c r="K411" i="14"/>
  <c r="L411" i="14"/>
  <c r="M411" i="14"/>
  <c r="N411" i="14"/>
  <c r="O411" i="14"/>
  <c r="P411" i="14"/>
  <c r="Q411" i="14"/>
  <c r="R411" i="14"/>
  <c r="S411" i="14"/>
  <c r="T411" i="14"/>
  <c r="U411" i="14"/>
  <c r="V411" i="14"/>
  <c r="W411" i="14"/>
  <c r="X411" i="14"/>
  <c r="Z411" i="14"/>
  <c r="J412" i="14"/>
  <c r="K412" i="14"/>
  <c r="L412" i="14"/>
  <c r="M412" i="14"/>
  <c r="N412" i="14"/>
  <c r="O412" i="14"/>
  <c r="P412" i="14"/>
  <c r="Q412" i="14"/>
  <c r="R412" i="14"/>
  <c r="S412" i="14"/>
  <c r="T412" i="14"/>
  <c r="U412" i="14"/>
  <c r="V412" i="14"/>
  <c r="W412" i="14"/>
  <c r="X412" i="14"/>
  <c r="Z412" i="14"/>
  <c r="J413" i="14"/>
  <c r="K413" i="14"/>
  <c r="L413" i="14"/>
  <c r="M413" i="14"/>
  <c r="N413" i="14"/>
  <c r="O413" i="14"/>
  <c r="P413" i="14"/>
  <c r="Q413" i="14"/>
  <c r="R413" i="14"/>
  <c r="S413" i="14"/>
  <c r="T413" i="14"/>
  <c r="U413" i="14"/>
  <c r="V413" i="14"/>
  <c r="W413" i="14"/>
  <c r="X413" i="14"/>
  <c r="Z413" i="14"/>
  <c r="J414" i="14"/>
  <c r="K414" i="14"/>
  <c r="L414" i="14"/>
  <c r="M414" i="14"/>
  <c r="N414" i="14"/>
  <c r="O414" i="14"/>
  <c r="P414" i="14"/>
  <c r="Q414" i="14"/>
  <c r="R414" i="14"/>
  <c r="S414" i="14"/>
  <c r="T414" i="14"/>
  <c r="U414" i="14"/>
  <c r="V414" i="14"/>
  <c r="W414" i="14"/>
  <c r="X414" i="14"/>
  <c r="Z414" i="14"/>
  <c r="J415" i="14"/>
  <c r="K415" i="14"/>
  <c r="L415" i="14"/>
  <c r="M415" i="14"/>
  <c r="N415" i="14"/>
  <c r="O415" i="14"/>
  <c r="P415" i="14"/>
  <c r="Q415" i="14"/>
  <c r="R415" i="14"/>
  <c r="S415" i="14"/>
  <c r="T415" i="14"/>
  <c r="U415" i="14"/>
  <c r="V415" i="14"/>
  <c r="W415" i="14"/>
  <c r="X415" i="14"/>
  <c r="Z415" i="14"/>
  <c r="P35" i="20"/>
  <c r="P36" i="20"/>
  <c r="Q418" i="14"/>
  <c r="Q35" i="20"/>
  <c r="R35" i="20"/>
  <c r="S417" i="14"/>
  <c r="S35" i="20"/>
  <c r="S36" i="20"/>
  <c r="T418" i="14"/>
  <c r="T35" i="20"/>
  <c r="T36" i="20"/>
  <c r="U418" i="14"/>
  <c r="U35" i="20"/>
  <c r="V417" i="14"/>
  <c r="V35" i="20"/>
  <c r="V36" i="20"/>
  <c r="W418" i="14"/>
  <c r="W35" i="20"/>
  <c r="X417" i="14"/>
  <c r="Y35" i="20"/>
  <c r="Z417" i="14"/>
  <c r="P37" i="20"/>
  <c r="Q419" i="14"/>
  <c r="Q37" i="20"/>
  <c r="R419" i="14"/>
  <c r="R37" i="20"/>
  <c r="S419" i="14"/>
  <c r="S37" i="20"/>
  <c r="T419" i="14"/>
  <c r="T37" i="20"/>
  <c r="U419" i="14"/>
  <c r="U37" i="20"/>
  <c r="V419" i="14"/>
  <c r="V37" i="20"/>
  <c r="W419" i="14"/>
  <c r="W37" i="20"/>
  <c r="X419" i="14"/>
  <c r="Y37" i="20"/>
  <c r="Z419" i="14"/>
  <c r="J420" i="14"/>
  <c r="K420" i="14"/>
  <c r="L420" i="14"/>
  <c r="M420" i="14"/>
  <c r="N420" i="14"/>
  <c r="O420" i="14"/>
  <c r="P420" i="14"/>
  <c r="Q420" i="14"/>
  <c r="R420" i="14"/>
  <c r="S420" i="14"/>
  <c r="T420" i="14"/>
  <c r="U420" i="14"/>
  <c r="V420" i="14"/>
  <c r="W420" i="14"/>
  <c r="X420" i="14"/>
  <c r="Z420" i="14"/>
  <c r="J421" i="14"/>
  <c r="K421" i="14"/>
  <c r="L421" i="14"/>
  <c r="M421" i="14"/>
  <c r="N421" i="14"/>
  <c r="O421" i="14"/>
  <c r="P421" i="14"/>
  <c r="Q421" i="14"/>
  <c r="R421" i="14"/>
  <c r="S421" i="14"/>
  <c r="T421" i="14"/>
  <c r="U421" i="14"/>
  <c r="V421" i="14"/>
  <c r="W421" i="14"/>
  <c r="X421" i="14"/>
  <c r="Z421" i="14"/>
  <c r="J422" i="14"/>
  <c r="K422" i="14"/>
  <c r="L422" i="14"/>
  <c r="M422" i="14"/>
  <c r="N422" i="14"/>
  <c r="O422" i="14"/>
  <c r="P422" i="14"/>
  <c r="Q422" i="14"/>
  <c r="R422" i="14"/>
  <c r="S422" i="14"/>
  <c r="T422" i="14"/>
  <c r="U422" i="14"/>
  <c r="V422" i="14"/>
  <c r="W422" i="14"/>
  <c r="X422" i="14"/>
  <c r="Z422" i="14"/>
  <c r="J424" i="14"/>
  <c r="K424" i="14"/>
  <c r="L424" i="14"/>
  <c r="M424" i="14"/>
  <c r="N424" i="14"/>
  <c r="O424" i="14"/>
  <c r="P424" i="14"/>
  <c r="Q424" i="14"/>
  <c r="R424" i="14"/>
  <c r="S424" i="14"/>
  <c r="T424" i="14"/>
  <c r="U424" i="14"/>
  <c r="V424" i="14"/>
  <c r="W424" i="14"/>
  <c r="X424" i="14"/>
  <c r="Z424" i="14"/>
  <c r="J425" i="14"/>
  <c r="K425" i="14"/>
  <c r="L425" i="14"/>
  <c r="M425" i="14"/>
  <c r="N425" i="14"/>
  <c r="O425" i="14"/>
  <c r="P425" i="14"/>
  <c r="Q425" i="14"/>
  <c r="R425" i="14"/>
  <c r="S425" i="14"/>
  <c r="T425" i="14"/>
  <c r="U425" i="14"/>
  <c r="V425" i="14"/>
  <c r="W425" i="14"/>
  <c r="X425" i="14"/>
  <c r="Z425" i="14"/>
  <c r="J426" i="14"/>
  <c r="K426" i="14"/>
  <c r="L426" i="14"/>
  <c r="M426" i="14"/>
  <c r="N426" i="14"/>
  <c r="O426" i="14"/>
  <c r="P426" i="14"/>
  <c r="Q426" i="14"/>
  <c r="R426" i="14"/>
  <c r="S426" i="14"/>
  <c r="T426" i="14"/>
  <c r="U426" i="14"/>
  <c r="V426" i="14"/>
  <c r="W426" i="14"/>
  <c r="X426" i="14"/>
  <c r="Z426" i="14"/>
  <c r="J427" i="14"/>
  <c r="K427" i="14"/>
  <c r="L427" i="14"/>
  <c r="M427" i="14"/>
  <c r="N427" i="14"/>
  <c r="O427" i="14"/>
  <c r="P427" i="14"/>
  <c r="Q427" i="14"/>
  <c r="R427" i="14"/>
  <c r="S427" i="14"/>
  <c r="T427" i="14"/>
  <c r="U427" i="14"/>
  <c r="V427" i="14"/>
  <c r="W427" i="14"/>
  <c r="X427" i="14"/>
  <c r="Z427" i="14"/>
  <c r="J428" i="14"/>
  <c r="K428" i="14"/>
  <c r="L428" i="14"/>
  <c r="M428" i="14"/>
  <c r="N428" i="14"/>
  <c r="O428" i="14"/>
  <c r="P428" i="14"/>
  <c r="Q428" i="14"/>
  <c r="R428" i="14"/>
  <c r="S428" i="14"/>
  <c r="T428" i="14"/>
  <c r="U428" i="14"/>
  <c r="V428" i="14"/>
  <c r="W428" i="14"/>
  <c r="X428" i="14"/>
  <c r="Z428" i="14"/>
  <c r="J429" i="14"/>
  <c r="K429" i="14"/>
  <c r="L429" i="14"/>
  <c r="M429" i="14"/>
  <c r="N429" i="14"/>
  <c r="O429" i="14"/>
  <c r="P429" i="14"/>
  <c r="Q429" i="14"/>
  <c r="R429" i="14"/>
  <c r="S429" i="14"/>
  <c r="T429" i="14"/>
  <c r="U429" i="14"/>
  <c r="V429" i="14"/>
  <c r="W429" i="14"/>
  <c r="X429" i="14"/>
  <c r="Z429" i="14"/>
  <c r="J430" i="14"/>
  <c r="K430" i="14"/>
  <c r="L430" i="14"/>
  <c r="M430" i="14"/>
  <c r="N430" i="14"/>
  <c r="O430" i="14"/>
  <c r="P430" i="14"/>
  <c r="Q430" i="14"/>
  <c r="R430" i="14"/>
  <c r="S430" i="14"/>
  <c r="T430" i="14"/>
  <c r="U430" i="14"/>
  <c r="V430" i="14"/>
  <c r="W430" i="14"/>
  <c r="X430" i="14"/>
  <c r="Z430" i="14"/>
  <c r="J431" i="14"/>
  <c r="K431" i="14"/>
  <c r="L431" i="14"/>
  <c r="M431" i="14"/>
  <c r="N431" i="14"/>
  <c r="O431" i="14"/>
  <c r="P431" i="14"/>
  <c r="Q431" i="14"/>
  <c r="R431" i="14"/>
  <c r="S431" i="14"/>
  <c r="T431" i="14"/>
  <c r="U431" i="14"/>
  <c r="V431" i="14"/>
  <c r="W431" i="14"/>
  <c r="X431" i="14"/>
  <c r="Z431" i="14"/>
  <c r="J432" i="14"/>
  <c r="K432" i="14"/>
  <c r="L432" i="14"/>
  <c r="M432" i="14"/>
  <c r="N432" i="14"/>
  <c r="O432" i="14"/>
  <c r="P432" i="14"/>
  <c r="Q432" i="14"/>
  <c r="R432" i="14"/>
  <c r="S432" i="14"/>
  <c r="T432" i="14"/>
  <c r="U432" i="14"/>
  <c r="V432" i="14"/>
  <c r="W432" i="14"/>
  <c r="X432" i="14"/>
  <c r="Z432" i="14"/>
  <c r="J433" i="14"/>
  <c r="K433" i="14"/>
  <c r="L433" i="14"/>
  <c r="M433" i="14"/>
  <c r="N433" i="14"/>
  <c r="O433" i="14"/>
  <c r="P433" i="14"/>
  <c r="Q433" i="14"/>
  <c r="R433" i="14"/>
  <c r="S433" i="14"/>
  <c r="T433" i="14"/>
  <c r="U433" i="14"/>
  <c r="V433" i="14"/>
  <c r="W433" i="14"/>
  <c r="X433" i="14"/>
  <c r="Z433" i="14"/>
  <c r="J434" i="14"/>
  <c r="K434" i="14"/>
  <c r="L434" i="14"/>
  <c r="M434" i="14"/>
  <c r="N434" i="14"/>
  <c r="O434" i="14"/>
  <c r="P434" i="14"/>
  <c r="Q434" i="14"/>
  <c r="R434" i="14"/>
  <c r="S434" i="14"/>
  <c r="T434" i="14"/>
  <c r="U434" i="14"/>
  <c r="V434" i="14"/>
  <c r="W434" i="14"/>
  <c r="X434" i="14"/>
  <c r="Z434" i="14"/>
  <c r="B70" i="14"/>
  <c r="B69" i="14"/>
  <c r="B68" i="14"/>
  <c r="B67" i="14"/>
  <c r="B66" i="14"/>
  <c r="B65" i="14"/>
  <c r="B64" i="14"/>
  <c r="B63" i="14"/>
  <c r="B62" i="14"/>
  <c r="B9" i="14"/>
  <c r="Q15" i="4"/>
  <c r="B11" i="14"/>
  <c r="Q17" i="4"/>
  <c r="B12" i="14"/>
  <c r="Q19" i="4"/>
  <c r="B21" i="14"/>
  <c r="Q33" i="4"/>
  <c r="B43" i="14"/>
  <c r="Q44" i="4"/>
  <c r="F2" i="14"/>
  <c r="H2" i="14"/>
  <c r="F3" i="14"/>
  <c r="F4" i="14"/>
  <c r="F5" i="14"/>
  <c r="H5" i="14"/>
  <c r="F6" i="14"/>
  <c r="F7" i="14"/>
  <c r="H7" i="14"/>
  <c r="F8" i="14"/>
  <c r="H8" i="14"/>
  <c r="F9" i="14"/>
  <c r="H9" i="14"/>
  <c r="F10" i="14"/>
  <c r="H10" i="14"/>
  <c r="F11" i="14"/>
  <c r="F12" i="14"/>
  <c r="H12" i="14"/>
  <c r="F13" i="14"/>
  <c r="H13" i="14"/>
  <c r="F14" i="14"/>
  <c r="F15" i="14"/>
  <c r="F16" i="14"/>
  <c r="H16" i="14"/>
  <c r="F17" i="14"/>
  <c r="F18" i="14"/>
  <c r="H18" i="14"/>
  <c r="F19" i="14"/>
  <c r="H19" i="14"/>
  <c r="F20" i="14"/>
  <c r="H20" i="14"/>
  <c r="F21" i="14"/>
  <c r="H21" i="14"/>
  <c r="F22" i="14"/>
  <c r="H22" i="14"/>
  <c r="F23" i="14"/>
  <c r="H23" i="14"/>
  <c r="F24" i="14"/>
  <c r="F25" i="14"/>
  <c r="H25" i="14"/>
  <c r="F26" i="14"/>
  <c r="H26" i="14"/>
  <c r="F27" i="14"/>
  <c r="H27" i="14"/>
  <c r="F28" i="14"/>
  <c r="H28" i="14"/>
  <c r="F29" i="14"/>
  <c r="H29" i="14"/>
  <c r="F30" i="14"/>
  <c r="H30" i="14"/>
  <c r="F31" i="14"/>
  <c r="H31" i="14"/>
  <c r="F32" i="14"/>
  <c r="F33" i="14"/>
  <c r="F34" i="14"/>
  <c r="H34" i="14"/>
  <c r="F35" i="14"/>
  <c r="H35" i="14"/>
  <c r="F36" i="14"/>
  <c r="H36" i="14"/>
  <c r="F37" i="14"/>
  <c r="H37" i="14"/>
  <c r="F38" i="14"/>
  <c r="F39" i="14"/>
  <c r="F40" i="14"/>
  <c r="H40" i="14"/>
  <c r="F41" i="14"/>
  <c r="H41" i="14"/>
  <c r="F42" i="14"/>
  <c r="F43" i="14"/>
  <c r="H43" i="14"/>
  <c r="F44" i="14"/>
  <c r="H44" i="14"/>
  <c r="F45" i="14"/>
  <c r="H45" i="14"/>
  <c r="F46" i="14"/>
  <c r="H46" i="14"/>
  <c r="F47" i="14"/>
  <c r="F48" i="14"/>
  <c r="H48" i="14"/>
  <c r="F49" i="14"/>
  <c r="H49" i="14"/>
  <c r="F50" i="14"/>
  <c r="F51" i="14"/>
  <c r="H51" i="14"/>
  <c r="F52" i="14"/>
  <c r="H52" i="14"/>
  <c r="F53" i="14"/>
  <c r="F54" i="14"/>
  <c r="F55" i="14"/>
  <c r="H55" i="14"/>
  <c r="F56" i="14"/>
  <c r="H56" i="14"/>
  <c r="F57" i="14"/>
  <c r="H57" i="14"/>
  <c r="F58" i="14"/>
  <c r="H58" i="14"/>
  <c r="F59" i="14"/>
  <c r="H59" i="14"/>
  <c r="F60" i="14"/>
  <c r="H60" i="14"/>
  <c r="F61" i="14"/>
  <c r="H61" i="14"/>
  <c r="F62" i="14"/>
  <c r="H62" i="14"/>
  <c r="F63" i="14"/>
  <c r="H63" i="14"/>
  <c r="F64" i="14"/>
  <c r="H64" i="14"/>
  <c r="F65" i="14"/>
  <c r="F66" i="14"/>
  <c r="F67" i="14"/>
  <c r="H67" i="14"/>
  <c r="F68" i="14"/>
  <c r="F69" i="14"/>
  <c r="H69" i="14"/>
  <c r="F70" i="14"/>
  <c r="H70" i="14"/>
  <c r="F71" i="14"/>
  <c r="F72" i="14"/>
  <c r="H72" i="14"/>
  <c r="F73" i="14"/>
  <c r="H73" i="14"/>
  <c r="F74" i="14"/>
  <c r="H74" i="14"/>
  <c r="F75" i="14"/>
  <c r="H75" i="14"/>
  <c r="F76" i="14"/>
  <c r="F77" i="14"/>
  <c r="H77" i="14"/>
  <c r="F78" i="14"/>
  <c r="F79" i="14"/>
  <c r="H79" i="14"/>
  <c r="F80" i="14"/>
  <c r="H80" i="14"/>
  <c r="F81" i="14"/>
  <c r="H81" i="14"/>
  <c r="F82" i="14"/>
  <c r="F83" i="14"/>
  <c r="F84" i="14"/>
  <c r="F85" i="14"/>
  <c r="F86" i="14"/>
  <c r="H86" i="14"/>
  <c r="F87" i="14"/>
  <c r="F88" i="14"/>
  <c r="H88" i="14"/>
  <c r="F89" i="14"/>
  <c r="H89" i="14"/>
  <c r="F90" i="14"/>
  <c r="H90" i="14"/>
  <c r="F91" i="14"/>
  <c r="F92" i="14"/>
  <c r="F93" i="14"/>
  <c r="H93" i="14"/>
  <c r="F94" i="14"/>
  <c r="H94" i="14"/>
  <c r="F95" i="14"/>
  <c r="F96" i="14"/>
  <c r="H96" i="14"/>
  <c r="F97" i="14"/>
  <c r="H97" i="14"/>
  <c r="F98" i="14"/>
  <c r="F99" i="14"/>
  <c r="H99" i="14"/>
  <c r="F100" i="14"/>
  <c r="H100" i="14"/>
  <c r="F101" i="14"/>
  <c r="H101" i="14"/>
  <c r="F102" i="14"/>
  <c r="H102" i="14"/>
  <c r="F103" i="14"/>
  <c r="H103" i="14"/>
  <c r="F104" i="14"/>
  <c r="F105" i="14"/>
  <c r="H105" i="14"/>
  <c r="F106" i="14"/>
  <c r="H106" i="14"/>
  <c r="F107" i="14"/>
  <c r="H107" i="14"/>
  <c r="F108" i="14"/>
  <c r="H108" i="14"/>
  <c r="F109" i="14"/>
  <c r="H109" i="14"/>
  <c r="F110" i="14"/>
  <c r="F111" i="14"/>
  <c r="F112" i="14"/>
  <c r="H112" i="14"/>
  <c r="F113" i="14"/>
  <c r="H113" i="14"/>
  <c r="F114" i="14"/>
  <c r="H114" i="14"/>
  <c r="F115" i="14"/>
  <c r="H115" i="14"/>
  <c r="F116" i="14"/>
  <c r="H116" i="14"/>
  <c r="F117" i="14"/>
  <c r="H117" i="14"/>
  <c r="F118" i="14"/>
  <c r="H118" i="14"/>
  <c r="F119" i="14"/>
  <c r="F120" i="14"/>
  <c r="F121" i="14"/>
  <c r="H121" i="14"/>
  <c r="F122" i="14"/>
  <c r="H122" i="14"/>
  <c r="F123" i="14"/>
  <c r="H123" i="14"/>
  <c r="F124" i="14"/>
  <c r="F125" i="14"/>
  <c r="H125" i="14"/>
  <c r="F126" i="14"/>
  <c r="F127" i="14"/>
  <c r="H127" i="14"/>
  <c r="F128" i="14"/>
  <c r="F129" i="14"/>
  <c r="H129" i="14"/>
  <c r="F130" i="14"/>
  <c r="H130" i="14"/>
  <c r="F131" i="14"/>
  <c r="H131" i="14"/>
  <c r="F132" i="14"/>
  <c r="H132" i="14"/>
  <c r="F133" i="14"/>
  <c r="F134" i="14"/>
  <c r="F135" i="14"/>
  <c r="H135" i="14"/>
  <c r="F136" i="14"/>
  <c r="F137" i="14"/>
  <c r="F138" i="14"/>
  <c r="H138" i="14"/>
  <c r="F139" i="14"/>
  <c r="F140" i="14"/>
  <c r="F141" i="14"/>
  <c r="F142" i="14"/>
  <c r="F143" i="14"/>
  <c r="H143" i="14"/>
  <c r="F144" i="14"/>
  <c r="F145" i="14"/>
  <c r="F146" i="14"/>
  <c r="F147" i="14"/>
  <c r="H147" i="14"/>
  <c r="F148" i="14"/>
  <c r="H148" i="14"/>
  <c r="F149" i="14"/>
  <c r="F150" i="14"/>
  <c r="H150" i="14"/>
  <c r="F151" i="14"/>
  <c r="F152" i="14"/>
  <c r="F153" i="14"/>
  <c r="H153" i="14"/>
  <c r="F154" i="14"/>
  <c r="F155" i="14"/>
  <c r="H155" i="14"/>
  <c r="F156" i="14"/>
  <c r="F157" i="14"/>
  <c r="F158" i="14"/>
  <c r="H158" i="14"/>
  <c r="F159" i="14"/>
  <c r="H159" i="14"/>
  <c r="F160" i="14"/>
  <c r="H160" i="14"/>
  <c r="F161" i="14"/>
  <c r="H161" i="14"/>
  <c r="F162" i="14"/>
  <c r="F163" i="14"/>
  <c r="H163" i="14"/>
  <c r="F164" i="14"/>
  <c r="F165" i="14"/>
  <c r="H165" i="14"/>
  <c r="F166" i="14"/>
  <c r="F167" i="14"/>
  <c r="H167" i="14"/>
  <c r="F168" i="14"/>
  <c r="F169" i="14"/>
  <c r="F170" i="14"/>
  <c r="H170" i="14"/>
  <c r="F171" i="14"/>
  <c r="F172" i="14"/>
  <c r="H172" i="14"/>
  <c r="F173" i="14"/>
  <c r="H173" i="14"/>
  <c r="F174" i="14"/>
  <c r="F175" i="14"/>
  <c r="H175" i="14"/>
  <c r="F176" i="14"/>
  <c r="H176" i="14"/>
  <c r="F177" i="14"/>
  <c r="H177" i="14"/>
  <c r="F178" i="14"/>
  <c r="H178" i="14"/>
  <c r="F179" i="14"/>
  <c r="H179" i="14"/>
  <c r="F180" i="14"/>
  <c r="F181" i="14"/>
  <c r="F182" i="14"/>
  <c r="F183" i="14"/>
  <c r="F184" i="14"/>
  <c r="F185" i="14"/>
  <c r="F186" i="14"/>
  <c r="F187" i="14"/>
  <c r="F188" i="14"/>
  <c r="F189" i="14"/>
  <c r="F190" i="14"/>
  <c r="H190" i="14"/>
  <c r="F191" i="14"/>
  <c r="H191" i="14"/>
  <c r="F192" i="14"/>
  <c r="H192" i="14"/>
  <c r="F193" i="14"/>
  <c r="F194" i="14"/>
  <c r="F195" i="14"/>
  <c r="F196" i="14"/>
  <c r="F197" i="14"/>
  <c r="F198" i="14"/>
  <c r="F199" i="14"/>
  <c r="F200" i="14"/>
  <c r="F201" i="14"/>
  <c r="F202" i="14"/>
  <c r="F203" i="14"/>
  <c r="F204" i="14"/>
  <c r="H204" i="14"/>
  <c r="F205" i="14"/>
  <c r="H205" i="14"/>
  <c r="F206" i="14"/>
  <c r="F207" i="14"/>
  <c r="H207" i="14"/>
  <c r="F208" i="14"/>
  <c r="H208" i="14"/>
  <c r="F209" i="14"/>
  <c r="F210" i="14"/>
  <c r="H210" i="14"/>
  <c r="F211" i="14"/>
  <c r="F212" i="14"/>
  <c r="F213" i="14"/>
  <c r="F214" i="14"/>
  <c r="F215" i="14"/>
  <c r="H215" i="14"/>
  <c r="F216" i="14"/>
  <c r="H216" i="14"/>
  <c r="F217" i="14"/>
  <c r="H217" i="14"/>
  <c r="F218" i="14"/>
  <c r="F219" i="14"/>
  <c r="H219" i="14"/>
  <c r="F220" i="14"/>
  <c r="H220" i="14"/>
  <c r="F221" i="14"/>
  <c r="H221" i="14"/>
  <c r="F222" i="14"/>
  <c r="H222" i="14"/>
  <c r="F223" i="14"/>
  <c r="H223" i="14"/>
  <c r="F224" i="14"/>
  <c r="F225" i="14"/>
  <c r="F226" i="14"/>
  <c r="F227" i="14"/>
  <c r="F228" i="14"/>
  <c r="F229" i="14"/>
  <c r="H229" i="14"/>
  <c r="F230" i="14"/>
  <c r="H230" i="14"/>
  <c r="F231" i="14"/>
  <c r="H231" i="14"/>
  <c r="F232" i="14"/>
  <c r="H232" i="14"/>
  <c r="F233" i="14"/>
  <c r="H233" i="14"/>
  <c r="F234" i="14"/>
  <c r="H234" i="14"/>
  <c r="F235" i="14"/>
  <c r="F236" i="14"/>
  <c r="H236" i="14"/>
  <c r="F237" i="14"/>
  <c r="F238" i="14"/>
  <c r="H238" i="14"/>
  <c r="F239" i="14"/>
  <c r="H239" i="14"/>
  <c r="F240" i="14"/>
  <c r="H240" i="14"/>
  <c r="F241" i="14"/>
  <c r="H241" i="14"/>
  <c r="F242" i="14"/>
  <c r="H242" i="14"/>
  <c r="F243" i="14"/>
  <c r="H243" i="14"/>
  <c r="F244" i="14"/>
  <c r="H244" i="14"/>
  <c r="F245" i="14"/>
  <c r="H245" i="14"/>
  <c r="F246" i="14"/>
  <c r="H246" i="14"/>
  <c r="F247" i="14"/>
  <c r="H247" i="14"/>
  <c r="F248" i="14"/>
  <c r="H248" i="14"/>
  <c r="F249" i="14"/>
  <c r="H249" i="14"/>
  <c r="F250" i="14"/>
  <c r="H250" i="14"/>
  <c r="F251" i="14"/>
  <c r="F252" i="14"/>
  <c r="F253" i="14"/>
  <c r="F254" i="14"/>
  <c r="F255" i="14"/>
  <c r="H255" i="14"/>
  <c r="F256" i="14"/>
  <c r="F257" i="14"/>
  <c r="H257" i="14"/>
  <c r="F258" i="14"/>
  <c r="F259" i="14"/>
  <c r="F260" i="14"/>
  <c r="H260" i="14"/>
  <c r="F261" i="14"/>
  <c r="H261" i="14"/>
  <c r="F262" i="14"/>
  <c r="H262" i="14"/>
  <c r="F263" i="14"/>
  <c r="F264" i="14"/>
  <c r="F265" i="14"/>
  <c r="H265" i="14"/>
  <c r="F266" i="14"/>
  <c r="F267" i="14"/>
  <c r="H267" i="14"/>
  <c r="F268" i="14"/>
  <c r="F269" i="14"/>
  <c r="F270" i="14"/>
  <c r="H270" i="14"/>
  <c r="F271" i="14"/>
  <c r="F272" i="14"/>
  <c r="H272" i="14"/>
  <c r="F273" i="14"/>
  <c r="F274" i="14"/>
  <c r="F275" i="14"/>
  <c r="H275" i="14"/>
  <c r="F276" i="14"/>
  <c r="H276" i="14"/>
  <c r="F277" i="14"/>
  <c r="H277" i="14"/>
  <c r="F278" i="14"/>
  <c r="F279" i="14"/>
  <c r="F280" i="14"/>
  <c r="H280" i="14"/>
  <c r="F281" i="14"/>
  <c r="F282" i="14"/>
  <c r="H282" i="14"/>
  <c r="F283" i="14"/>
  <c r="H283" i="14"/>
  <c r="F284" i="14"/>
  <c r="H284" i="14"/>
  <c r="F285" i="14"/>
  <c r="F286" i="14"/>
  <c r="H286" i="14"/>
  <c r="F287" i="14"/>
  <c r="H287" i="14"/>
  <c r="F288" i="14"/>
  <c r="F289" i="14"/>
  <c r="F290" i="14"/>
  <c r="H290" i="14"/>
  <c r="F291" i="14"/>
  <c r="F292" i="14"/>
  <c r="H292" i="14"/>
  <c r="F293" i="14"/>
  <c r="H293" i="14"/>
  <c r="F294" i="14"/>
  <c r="F295" i="14"/>
  <c r="H295" i="14"/>
  <c r="F296" i="14"/>
  <c r="F297" i="14"/>
  <c r="H297" i="14"/>
  <c r="F298" i="14"/>
  <c r="F299" i="14"/>
  <c r="F300" i="14"/>
  <c r="F301" i="14"/>
  <c r="H301" i="14"/>
  <c r="F302" i="14"/>
  <c r="H302" i="14"/>
  <c r="F303" i="14"/>
  <c r="H303" i="14"/>
  <c r="F304" i="14"/>
  <c r="H304" i="14"/>
  <c r="F305" i="14"/>
  <c r="F306" i="14"/>
  <c r="H306" i="14"/>
  <c r="F307" i="14"/>
  <c r="F308" i="14"/>
  <c r="F309" i="14"/>
  <c r="F310" i="14"/>
  <c r="F311" i="14"/>
  <c r="H311" i="14"/>
  <c r="F312" i="14"/>
  <c r="H312" i="14"/>
  <c r="F313" i="14"/>
  <c r="H313" i="14"/>
  <c r="F314" i="14"/>
  <c r="H314" i="14"/>
  <c r="F315" i="14"/>
  <c r="F316" i="14"/>
  <c r="F317" i="14"/>
  <c r="H317" i="14"/>
  <c r="F318" i="14"/>
  <c r="F319" i="14"/>
  <c r="F320" i="14"/>
  <c r="H320" i="14"/>
  <c r="F321" i="14"/>
  <c r="H321" i="14"/>
  <c r="F322" i="14"/>
  <c r="H322" i="14"/>
  <c r="F323" i="14"/>
  <c r="H323" i="14"/>
  <c r="F324" i="14"/>
  <c r="H324" i="14"/>
  <c r="F325" i="14"/>
  <c r="F326" i="14"/>
  <c r="H326" i="14"/>
  <c r="F327" i="14"/>
  <c r="H327" i="14"/>
  <c r="F328" i="14"/>
  <c r="F329" i="14"/>
  <c r="H329" i="14"/>
  <c r="F330" i="14"/>
  <c r="F331" i="14"/>
  <c r="F332" i="14"/>
  <c r="F333" i="14"/>
  <c r="H333" i="14"/>
  <c r="F334" i="14"/>
  <c r="H334" i="14"/>
  <c r="F335" i="14"/>
  <c r="H335" i="14"/>
  <c r="F336" i="14"/>
  <c r="H336" i="14"/>
  <c r="F337" i="14"/>
  <c r="F338" i="14"/>
  <c r="H338" i="14"/>
  <c r="F339" i="14"/>
  <c r="H339" i="14"/>
  <c r="F340" i="14"/>
  <c r="H340" i="14"/>
  <c r="F341" i="14"/>
  <c r="H341" i="14"/>
  <c r="F342" i="14"/>
  <c r="H342" i="14"/>
  <c r="F343" i="14"/>
  <c r="F344" i="14"/>
  <c r="F345" i="14"/>
  <c r="H345" i="14"/>
  <c r="F346" i="14"/>
  <c r="F347" i="14"/>
  <c r="F348" i="14"/>
  <c r="F349" i="14"/>
  <c r="H349" i="14"/>
  <c r="F350" i="14"/>
  <c r="H350" i="14"/>
  <c r="F351" i="14"/>
  <c r="H351" i="14"/>
  <c r="F352" i="14"/>
  <c r="H352" i="14"/>
  <c r="F353" i="14"/>
  <c r="H353" i="14"/>
  <c r="F354" i="14"/>
  <c r="F355" i="14"/>
  <c r="H355" i="14"/>
  <c r="F356" i="14"/>
  <c r="H356" i="14"/>
  <c r="F357" i="14"/>
  <c r="H357" i="14"/>
  <c r="F358" i="14"/>
  <c r="H358" i="14"/>
  <c r="F359" i="14"/>
  <c r="H359" i="14"/>
  <c r="F360" i="14"/>
  <c r="H360" i="14"/>
  <c r="F361" i="14"/>
  <c r="F362" i="14"/>
  <c r="F363" i="14"/>
  <c r="H363" i="14"/>
  <c r="F364" i="14"/>
  <c r="H364" i="14"/>
  <c r="F365" i="14"/>
  <c r="F366" i="14"/>
  <c r="H366" i="14"/>
  <c r="F367" i="14"/>
  <c r="H367" i="14"/>
  <c r="F368" i="14"/>
  <c r="H368" i="14"/>
  <c r="F369" i="14"/>
  <c r="F370" i="14"/>
  <c r="H370" i="14"/>
  <c r="F371" i="14"/>
  <c r="H371" i="14"/>
  <c r="F372" i="14"/>
  <c r="F373" i="14"/>
  <c r="H373" i="14"/>
  <c r="F374" i="14"/>
  <c r="H374" i="14"/>
  <c r="F375" i="14"/>
  <c r="F376" i="14"/>
  <c r="F377" i="14"/>
  <c r="F378" i="14"/>
  <c r="H378" i="14"/>
  <c r="F379" i="14"/>
  <c r="F380" i="14"/>
  <c r="H380" i="14"/>
  <c r="F381" i="14"/>
  <c r="F382" i="14"/>
  <c r="H382" i="14"/>
  <c r="F383" i="14"/>
  <c r="F384" i="14"/>
  <c r="H384" i="14"/>
  <c r="F385" i="14"/>
  <c r="H385" i="14"/>
  <c r="F386" i="14"/>
  <c r="H386" i="14"/>
  <c r="F387" i="14"/>
  <c r="F388" i="14"/>
  <c r="F389" i="14"/>
  <c r="H389" i="14"/>
  <c r="F390" i="14"/>
  <c r="F391" i="14"/>
  <c r="H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J435" i="14"/>
  <c r="F435" i="14"/>
  <c r="K435" i="14"/>
  <c r="L435" i="14"/>
  <c r="M435" i="14"/>
  <c r="N435" i="14"/>
  <c r="O435" i="14"/>
  <c r="P435" i="14"/>
  <c r="Q435" i="14"/>
  <c r="R435" i="14"/>
  <c r="S435" i="14"/>
  <c r="T435" i="14"/>
  <c r="U435" i="14"/>
  <c r="V435" i="14"/>
  <c r="W435" i="14"/>
  <c r="X435" i="14"/>
  <c r="Z435" i="14"/>
  <c r="J436" i="14"/>
  <c r="F436" i="14"/>
  <c r="K436" i="14"/>
  <c r="L436" i="14"/>
  <c r="M436" i="14"/>
  <c r="N436" i="14"/>
  <c r="O436" i="14"/>
  <c r="P436" i="14"/>
  <c r="Q436" i="14"/>
  <c r="R436" i="14"/>
  <c r="S436" i="14"/>
  <c r="T436" i="14"/>
  <c r="U436" i="14"/>
  <c r="V436" i="14"/>
  <c r="W436" i="14"/>
  <c r="X436" i="14"/>
  <c r="Z436" i="14"/>
  <c r="J437" i="14"/>
  <c r="F437" i="14"/>
  <c r="K437" i="14"/>
  <c r="L437" i="14"/>
  <c r="M437" i="14"/>
  <c r="N437" i="14"/>
  <c r="O437" i="14"/>
  <c r="P437" i="14"/>
  <c r="Q437" i="14"/>
  <c r="R437" i="14"/>
  <c r="S437" i="14"/>
  <c r="T437" i="14"/>
  <c r="U437" i="14"/>
  <c r="V437" i="14"/>
  <c r="W437" i="14"/>
  <c r="X437" i="14"/>
  <c r="Z437" i="14"/>
  <c r="J438" i="14"/>
  <c r="F438" i="14"/>
  <c r="K438" i="14"/>
  <c r="L438" i="14"/>
  <c r="M438" i="14"/>
  <c r="N438" i="14"/>
  <c r="O438" i="14"/>
  <c r="P438" i="14"/>
  <c r="Q438" i="14"/>
  <c r="R438" i="14"/>
  <c r="S438" i="14"/>
  <c r="T438" i="14"/>
  <c r="U438" i="14"/>
  <c r="V438" i="14"/>
  <c r="W438" i="14"/>
  <c r="X438" i="14"/>
  <c r="Z438" i="14"/>
  <c r="J439" i="14"/>
  <c r="F439" i="14"/>
  <c r="K439" i="14"/>
  <c r="L439" i="14"/>
  <c r="M439" i="14"/>
  <c r="N439" i="14"/>
  <c r="O439" i="14"/>
  <c r="P439" i="14"/>
  <c r="Q439" i="14"/>
  <c r="R439" i="14"/>
  <c r="S439" i="14"/>
  <c r="T439" i="14"/>
  <c r="U439" i="14"/>
  <c r="V439" i="14"/>
  <c r="W439" i="14"/>
  <c r="X439" i="14"/>
  <c r="Z439" i="14"/>
  <c r="J440" i="14"/>
  <c r="F440" i="14"/>
  <c r="K440" i="14"/>
  <c r="L440" i="14"/>
  <c r="M440" i="14"/>
  <c r="N440" i="14"/>
  <c r="O440" i="14"/>
  <c r="P440" i="14"/>
  <c r="Q440" i="14"/>
  <c r="R440" i="14"/>
  <c r="S440" i="14"/>
  <c r="T440" i="14"/>
  <c r="U440" i="14"/>
  <c r="V440" i="14"/>
  <c r="W440" i="14"/>
  <c r="X440" i="14"/>
  <c r="Z440" i="14"/>
  <c r="J441" i="14"/>
  <c r="F441" i="14"/>
  <c r="K441" i="14"/>
  <c r="L441" i="14"/>
  <c r="M441" i="14"/>
  <c r="N441" i="14"/>
  <c r="O441" i="14"/>
  <c r="P441" i="14"/>
  <c r="Q441" i="14"/>
  <c r="R441" i="14"/>
  <c r="S441" i="14"/>
  <c r="T441" i="14"/>
  <c r="U441" i="14"/>
  <c r="V441" i="14"/>
  <c r="W441" i="14"/>
  <c r="X441" i="14"/>
  <c r="Z441" i="14"/>
  <c r="J442" i="14"/>
  <c r="F442" i="14"/>
  <c r="K442" i="14"/>
  <c r="L442" i="14"/>
  <c r="M442" i="14"/>
  <c r="N442" i="14"/>
  <c r="O442" i="14"/>
  <c r="P442" i="14"/>
  <c r="Q442" i="14"/>
  <c r="R442" i="14"/>
  <c r="S442" i="14"/>
  <c r="T442" i="14"/>
  <c r="U442" i="14"/>
  <c r="V442" i="14"/>
  <c r="W442" i="14"/>
  <c r="X442" i="14"/>
  <c r="Z442" i="14"/>
  <c r="F443" i="14"/>
  <c r="F444" i="14"/>
  <c r="Q64" i="20"/>
  <c r="R444" i="14"/>
  <c r="R64" i="20"/>
  <c r="S444" i="14"/>
  <c r="S64" i="20"/>
  <c r="S65" i="20"/>
  <c r="T445" i="14"/>
  <c r="T64" i="20"/>
  <c r="U444" i="14"/>
  <c r="U64" i="20"/>
  <c r="V444" i="14"/>
  <c r="V64" i="20"/>
  <c r="W64" i="20"/>
  <c r="W65" i="20"/>
  <c r="X445" i="14"/>
  <c r="Y64" i="20"/>
  <c r="Z444" i="14"/>
  <c r="F445" i="14"/>
  <c r="T65" i="20"/>
  <c r="U445" i="14"/>
  <c r="F446" i="14"/>
  <c r="P66" i="20"/>
  <c r="Q446" i="14"/>
  <c r="Q66" i="20"/>
  <c r="R446" i="14"/>
  <c r="R66" i="20"/>
  <c r="S446" i="14"/>
  <c r="S66" i="20"/>
  <c r="T446" i="14"/>
  <c r="T66" i="20"/>
  <c r="U446" i="14"/>
  <c r="U66" i="20"/>
  <c r="V446" i="14"/>
  <c r="V66" i="20"/>
  <c r="W446" i="14"/>
  <c r="W66" i="20"/>
  <c r="X446" i="14"/>
  <c r="Y66" i="20"/>
  <c r="Z446" i="14"/>
  <c r="Q16" i="4"/>
  <c r="B57" i="14"/>
  <c r="B56" i="14"/>
  <c r="B55" i="14"/>
  <c r="B54" i="14"/>
  <c r="B53" i="14"/>
  <c r="B45" i="14"/>
  <c r="B44" i="14"/>
  <c r="B42" i="14"/>
  <c r="B40" i="14"/>
  <c r="B39" i="14"/>
  <c r="B38" i="14"/>
  <c r="B37" i="14"/>
  <c r="B30" i="14"/>
  <c r="B29" i="14"/>
  <c r="B28" i="14"/>
  <c r="B27" i="14"/>
  <c r="B26" i="14"/>
  <c r="B25" i="14"/>
  <c r="B24" i="14"/>
  <c r="B23" i="14"/>
  <c r="B22" i="14"/>
  <c r="B20" i="14"/>
  <c r="B19" i="14"/>
  <c r="B18" i="14"/>
  <c r="B17" i="14"/>
  <c r="B16" i="14"/>
  <c r="J39" i="4"/>
  <c r="B15" i="14"/>
  <c r="B14" i="14"/>
  <c r="B13" i="14"/>
  <c r="B10" i="14"/>
  <c r="B8" i="14"/>
  <c r="B7" i="14"/>
  <c r="B6" i="14"/>
  <c r="B5" i="14"/>
  <c r="B2" i="14"/>
  <c r="Q1" i="4"/>
  <c r="D44" i="4"/>
  <c r="D23" i="4"/>
  <c r="D19" i="4"/>
  <c r="D17" i="4"/>
  <c r="D52" i="4"/>
  <c r="D50" i="4"/>
  <c r="Q50" i="4"/>
  <c r="Q52" i="4"/>
  <c r="Q11" i="4"/>
  <c r="Q31" i="4"/>
  <c r="Q9" i="4"/>
  <c r="Q10" i="4"/>
  <c r="Q12" i="4"/>
  <c r="Q13" i="4"/>
  <c r="Q14" i="4"/>
  <c r="Q21" i="4"/>
  <c r="Q23" i="4"/>
  <c r="Q27" i="4"/>
  <c r="Q29" i="4"/>
  <c r="Q35" i="4"/>
  <c r="Q37" i="4"/>
  <c r="Q39" i="4"/>
  <c r="Q42" i="4"/>
  <c r="Q46" i="4"/>
  <c r="Q54" i="4"/>
  <c r="Q56" i="4"/>
  <c r="Q58" i="4"/>
  <c r="Q60" i="4"/>
  <c r="U17" i="8"/>
  <c r="P119" i="8"/>
  <c r="M119" i="8"/>
  <c r="O94" i="8"/>
  <c r="N94" i="8"/>
  <c r="G394" i="14"/>
  <c r="G395" i="14"/>
  <c r="G396" i="14"/>
  <c r="G397" i="14"/>
  <c r="G398" i="14"/>
  <c r="G399" i="14"/>
  <c r="G400" i="14"/>
  <c r="G401" i="14"/>
  <c r="G402" i="14"/>
  <c r="G403" i="14"/>
  <c r="G404" i="14"/>
  <c r="G405" i="14"/>
  <c r="G406" i="14"/>
  <c r="G407" i="14"/>
  <c r="G408" i="14"/>
  <c r="G409" i="14"/>
  <c r="G410" i="14"/>
  <c r="G411" i="14"/>
  <c r="G412" i="14"/>
  <c r="G413" i="14"/>
  <c r="G414" i="14"/>
  <c r="G415" i="14"/>
  <c r="G416" i="14"/>
  <c r="G417" i="14"/>
  <c r="G418" i="14"/>
  <c r="G419" i="14"/>
  <c r="G420" i="14"/>
  <c r="G421" i="14"/>
  <c r="G422" i="14"/>
  <c r="G423" i="14"/>
  <c r="G424" i="14"/>
  <c r="G425" i="14"/>
  <c r="G426" i="14"/>
  <c r="G427" i="14"/>
  <c r="G428" i="14"/>
  <c r="G429" i="14"/>
  <c r="G430" i="14"/>
  <c r="G431" i="14"/>
  <c r="G432" i="14"/>
  <c r="G433" i="14"/>
  <c r="G434" i="14"/>
  <c r="G435" i="14"/>
  <c r="G436" i="14"/>
  <c r="G437" i="14"/>
  <c r="G438" i="14"/>
  <c r="G439" i="14"/>
  <c r="G440" i="14"/>
  <c r="G441" i="14"/>
  <c r="G442" i="14"/>
  <c r="G443" i="14"/>
  <c r="G444" i="14"/>
  <c r="G445" i="14"/>
  <c r="G446" i="14"/>
  <c r="U42" i="20"/>
  <c r="V423" i="14"/>
  <c r="T42" i="20"/>
  <c r="U423" i="14"/>
  <c r="U13" i="20"/>
  <c r="U33" i="20"/>
  <c r="V416" i="14"/>
  <c r="T13" i="20"/>
  <c r="T33" i="20"/>
  <c r="U416" i="14"/>
  <c r="X57" i="20"/>
  <c r="Y438" i="14"/>
  <c r="Z57" i="20"/>
  <c r="AA438" i="14"/>
  <c r="X28" i="20"/>
  <c r="Y411"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J14" i="5"/>
  <c r="K354" i="14"/>
  <c r="I14" i="5"/>
  <c r="I22" i="5"/>
  <c r="J21" i="5"/>
  <c r="K361" i="14"/>
  <c r="I21" i="5"/>
  <c r="G210" i="14"/>
  <c r="G211" i="14"/>
  <c r="G212" i="14"/>
  <c r="G213" i="14"/>
  <c r="G214" i="14"/>
  <c r="G215" i="14"/>
  <c r="G216" i="14"/>
  <c r="G217" i="14"/>
  <c r="G218" i="14"/>
  <c r="G219" i="14"/>
  <c r="G220" i="14"/>
  <c r="G221" i="14"/>
  <c r="G222" i="14"/>
  <c r="G223" i="14"/>
  <c r="G82" i="14"/>
  <c r="G83" i="14"/>
  <c r="J90" i="2"/>
  <c r="J98" i="2"/>
  <c r="K214" i="14"/>
  <c r="H214" i="14"/>
  <c r="J91" i="2"/>
  <c r="J86" i="1"/>
  <c r="K78" i="14"/>
  <c r="I86" i="1"/>
  <c r="J78" i="14"/>
  <c r="B111" i="4"/>
  <c r="Y10" i="8"/>
  <c r="B34" i="8"/>
  <c r="AJ40" i="8"/>
  <c r="AK40" i="8"/>
  <c r="AL40" i="8"/>
  <c r="AM40" i="8"/>
  <c r="AN40" i="8"/>
  <c r="AO40" i="8"/>
  <c r="AP40" i="8"/>
  <c r="AQ40" i="8"/>
  <c r="AR40" i="8"/>
  <c r="AS40" i="8"/>
  <c r="AT40" i="8"/>
  <c r="AU40" i="8"/>
  <c r="AV40" i="8"/>
  <c r="AW40" i="8"/>
  <c r="AX40" i="8"/>
  <c r="AY40" i="8"/>
  <c r="AZ40" i="8"/>
  <c r="BA40" i="8"/>
  <c r="BB40" i="8"/>
  <c r="BC40" i="8"/>
  <c r="BD40" i="8"/>
  <c r="BE40" i="8"/>
  <c r="BF40" i="8"/>
  <c r="BG40" i="8"/>
  <c r="S49" i="8"/>
  <c r="I30" i="5"/>
  <c r="J369" i="14"/>
  <c r="B45" i="8"/>
  <c r="B83" i="8"/>
  <c r="L43" i="8"/>
  <c r="L73" i="8"/>
  <c r="P108" i="8"/>
  <c r="N108" i="8"/>
  <c r="O96" i="8"/>
  <c r="R96" i="8"/>
  <c r="S96" i="8"/>
  <c r="U96" i="8"/>
  <c r="O97" i="8"/>
  <c r="N101" i="8"/>
  <c r="M101" i="8"/>
  <c r="B101" i="8"/>
  <c r="O122" i="8"/>
  <c r="S72" i="8"/>
  <c r="M72" i="8"/>
  <c r="N93" i="8"/>
  <c r="O93" i="8"/>
  <c r="N95" i="8"/>
  <c r="M95" i="8"/>
  <c r="O95" i="8"/>
  <c r="B95" i="8"/>
  <c r="Y7"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10" i="8"/>
  <c r="A111" i="8"/>
  <c r="A112" i="8"/>
  <c r="A113" i="8"/>
  <c r="A114" i="8"/>
  <c r="A115" i="8"/>
  <c r="A116" i="8"/>
  <c r="A117" i="8"/>
  <c r="A118" i="8"/>
  <c r="A119" i="8"/>
  <c r="A120" i="8"/>
  <c r="A121" i="8"/>
  <c r="A122" i="8"/>
  <c r="S50" i="8"/>
  <c r="B80" i="8"/>
  <c r="B84" i="8"/>
  <c r="A3" i="20"/>
  <c r="A5" i="20"/>
  <c r="X10" i="20"/>
  <c r="Y393" i="14"/>
  <c r="X11" i="20"/>
  <c r="Y394" i="14"/>
  <c r="X12" i="20"/>
  <c r="Y395" i="14"/>
  <c r="H395" i="14"/>
  <c r="I13" i="20"/>
  <c r="J13" i="20"/>
  <c r="K396" i="14"/>
  <c r="K13" i="20"/>
  <c r="L396" i="14"/>
  <c r="L13" i="20"/>
  <c r="M396" i="14"/>
  <c r="M13" i="20"/>
  <c r="N396" i="14"/>
  <c r="N13" i="20"/>
  <c r="O396" i="14"/>
  <c r="O13" i="20"/>
  <c r="P396" i="14"/>
  <c r="P13" i="20"/>
  <c r="Q13" i="20"/>
  <c r="R396" i="14"/>
  <c r="R13" i="20"/>
  <c r="S396" i="14"/>
  <c r="S13" i="20"/>
  <c r="T396" i="14"/>
  <c r="V13" i="20"/>
  <c r="W396" i="14"/>
  <c r="W13" i="20"/>
  <c r="X396" i="14"/>
  <c r="Y13" i="20"/>
  <c r="X14" i="20"/>
  <c r="Z14" i="20"/>
  <c r="X15" i="20"/>
  <c r="Z15" i="20"/>
  <c r="X16" i="20"/>
  <c r="X17" i="20"/>
  <c r="Y400" i="14"/>
  <c r="X18" i="20"/>
  <c r="Y401" i="14"/>
  <c r="X19" i="20"/>
  <c r="Y402" i="14"/>
  <c r="X20" i="20"/>
  <c r="Y403" i="14"/>
  <c r="X21" i="20"/>
  <c r="Y404" i="14"/>
  <c r="H404" i="14"/>
  <c r="X22" i="20"/>
  <c r="Y405" i="14"/>
  <c r="X23" i="20"/>
  <c r="Y406" i="14"/>
  <c r="X24" i="20"/>
  <c r="X25" i="20"/>
  <c r="Y408" i="14"/>
  <c r="X26" i="20"/>
  <c r="Y409" i="14"/>
  <c r="X27" i="20"/>
  <c r="Y410" i="14"/>
  <c r="X29" i="20"/>
  <c r="Y412" i="14"/>
  <c r="X30" i="20"/>
  <c r="Y413" i="14"/>
  <c r="X31" i="20"/>
  <c r="Y414" i="14"/>
  <c r="X32" i="20"/>
  <c r="Y415" i="14"/>
  <c r="L33" i="20"/>
  <c r="M416" i="14"/>
  <c r="Q33" i="20"/>
  <c r="R416" i="14"/>
  <c r="X39" i="20"/>
  <c r="X40" i="20"/>
  <c r="Y421" i="14"/>
  <c r="H421" i="14"/>
  <c r="Z40" i="20"/>
  <c r="AA421" i="14"/>
  <c r="I421" i="14"/>
  <c r="X41" i="20"/>
  <c r="Z41" i="20"/>
  <c r="AA422" i="14"/>
  <c r="Y422" i="14"/>
  <c r="H422" i="14"/>
  <c r="I42" i="20"/>
  <c r="J423" i="14"/>
  <c r="J42" i="20"/>
  <c r="K42" i="20"/>
  <c r="L423" i="14"/>
  <c r="L42" i="20"/>
  <c r="M423" i="14"/>
  <c r="M42" i="20"/>
  <c r="M62" i="20"/>
  <c r="N423" i="14"/>
  <c r="N42" i="20"/>
  <c r="O423" i="14"/>
  <c r="O42" i="20"/>
  <c r="P423" i="14"/>
  <c r="P42" i="20"/>
  <c r="Q423" i="14"/>
  <c r="Q42" i="20"/>
  <c r="R42" i="20"/>
  <c r="S423" i="14"/>
  <c r="S42" i="20"/>
  <c r="T423" i="14"/>
  <c r="V42" i="20"/>
  <c r="W423" i="14"/>
  <c r="W42" i="20"/>
  <c r="X423" i="14"/>
  <c r="Y42" i="20"/>
  <c r="Z423" i="14"/>
  <c r="X43" i="20"/>
  <c r="X44" i="20"/>
  <c r="Y425" i="14"/>
  <c r="Z44" i="20"/>
  <c r="AA425" i="14"/>
  <c r="X45" i="20"/>
  <c r="Y426" i="14"/>
  <c r="X46" i="20"/>
  <c r="Y427" i="14"/>
  <c r="X47" i="20"/>
  <c r="Y428" i="14"/>
  <c r="I428" i="14"/>
  <c r="Z47" i="20"/>
  <c r="AA428" i="14"/>
  <c r="X48" i="20"/>
  <c r="Y429" i="14"/>
  <c r="X49" i="20"/>
  <c r="X50" i="20"/>
  <c r="X51" i="20"/>
  <c r="Y432" i="14"/>
  <c r="X52" i="20"/>
  <c r="Y433" i="14"/>
  <c r="X53" i="20"/>
  <c r="Y434" i="14"/>
  <c r="X54" i="20"/>
  <c r="Y435" i="14"/>
  <c r="X55" i="20"/>
  <c r="Y436" i="14"/>
  <c r="H436" i="14"/>
  <c r="Z55" i="20"/>
  <c r="AA436" i="14"/>
  <c r="X56" i="20"/>
  <c r="X58" i="20"/>
  <c r="Y439" i="14"/>
  <c r="X59" i="20"/>
  <c r="Y440" i="14"/>
  <c r="H440" i="14"/>
  <c r="Z59" i="20"/>
  <c r="AA440" i="14"/>
  <c r="X60" i="20"/>
  <c r="Z60" i="20"/>
  <c r="AA441" i="14"/>
  <c r="I441" i="14"/>
  <c r="Y441" i="14"/>
  <c r="X61" i="20"/>
  <c r="Y442" i="14"/>
  <c r="I62" i="20"/>
  <c r="J443" i="14"/>
  <c r="N443" i="14"/>
  <c r="N62" i="20"/>
  <c r="O443" i="14"/>
  <c r="A3" i="5"/>
  <c r="A5" i="5"/>
  <c r="J30" i="5"/>
  <c r="K369" i="14"/>
  <c r="H369" i="14"/>
  <c r="I36" i="5"/>
  <c r="J375" i="14"/>
  <c r="J36" i="5"/>
  <c r="K375" i="14"/>
  <c r="I43" i="5"/>
  <c r="J381" i="14"/>
  <c r="H381" i="14"/>
  <c r="K381" i="14"/>
  <c r="J43" i="5"/>
  <c r="I49" i="5"/>
  <c r="J387" i="14"/>
  <c r="I387" i="14"/>
  <c r="J49" i="5"/>
  <c r="K387" i="14"/>
  <c r="A3" i="6"/>
  <c r="A5" i="6"/>
  <c r="I10" i="6"/>
  <c r="J10" i="6"/>
  <c r="K300" i="14"/>
  <c r="I20" i="6"/>
  <c r="J310" i="14"/>
  <c r="J20" i="6"/>
  <c r="I36" i="6"/>
  <c r="J36" i="6"/>
  <c r="K325" i="14"/>
  <c r="I42" i="6"/>
  <c r="J331" i="14"/>
  <c r="J42" i="6"/>
  <c r="K331" i="14"/>
  <c r="I331" i="14"/>
  <c r="H331" i="14"/>
  <c r="I49" i="6"/>
  <c r="J337" i="14"/>
  <c r="J49" i="6"/>
  <c r="K337" i="14"/>
  <c r="I55" i="6"/>
  <c r="J55" i="6"/>
  <c r="K343" i="14"/>
  <c r="A3" i="10"/>
  <c r="A5" i="10"/>
  <c r="I78" i="10"/>
  <c r="N72" i="8"/>
  <c r="L72" i="8"/>
  <c r="B72" i="8"/>
  <c r="J78" i="10"/>
  <c r="O90" i="8"/>
  <c r="A3" i="2"/>
  <c r="A5" i="2"/>
  <c r="I8" i="2"/>
  <c r="I60" i="2"/>
  <c r="J8" i="2"/>
  <c r="J60" i="2"/>
  <c r="I16" i="2"/>
  <c r="J136" i="14"/>
  <c r="J16" i="2"/>
  <c r="K136" i="14"/>
  <c r="I20" i="2"/>
  <c r="J20" i="2"/>
  <c r="K140" i="14"/>
  <c r="I26" i="2"/>
  <c r="J146" i="14"/>
  <c r="J26" i="2"/>
  <c r="K146" i="14"/>
  <c r="I146" i="14"/>
  <c r="I29" i="2"/>
  <c r="J149" i="14"/>
  <c r="J29" i="2"/>
  <c r="K149" i="14"/>
  <c r="I37" i="2"/>
  <c r="N88" i="8"/>
  <c r="J37" i="2"/>
  <c r="I48" i="2"/>
  <c r="J168" i="14"/>
  <c r="J48" i="2"/>
  <c r="O89" i="8"/>
  <c r="L89" i="8"/>
  <c r="B89" i="8"/>
  <c r="I70" i="2"/>
  <c r="J70" i="2"/>
  <c r="K189" i="14"/>
  <c r="I85" i="2"/>
  <c r="J85" i="2"/>
  <c r="K202" i="14"/>
  <c r="I111" i="2"/>
  <c r="J111" i="2"/>
  <c r="K226" i="14"/>
  <c r="A3" i="1"/>
  <c r="A5" i="1"/>
  <c r="Q5" i="1"/>
  <c r="Q6" i="1"/>
  <c r="I11" i="1"/>
  <c r="J4" i="14"/>
  <c r="J11" i="1"/>
  <c r="K4" i="14"/>
  <c r="I18" i="1"/>
  <c r="J11" i="14"/>
  <c r="J18" i="1"/>
  <c r="K11" i="14"/>
  <c r="I28" i="1"/>
  <c r="J21" i="14"/>
  <c r="J28" i="1"/>
  <c r="K21" i="14"/>
  <c r="I21" i="14"/>
  <c r="I39" i="1"/>
  <c r="J32" i="14"/>
  <c r="J39" i="1"/>
  <c r="K32" i="14"/>
  <c r="I46" i="1"/>
  <c r="J39" i="14"/>
  <c r="H39" i="14"/>
  <c r="J46" i="1"/>
  <c r="K39" i="14"/>
  <c r="I54" i="1"/>
  <c r="J47" i="14"/>
  <c r="J54" i="1"/>
  <c r="K47" i="14"/>
  <c r="I61" i="1"/>
  <c r="J54" i="14"/>
  <c r="J61" i="1"/>
  <c r="I79" i="1"/>
  <c r="J71" i="14"/>
  <c r="H71" i="14"/>
  <c r="J79" i="1"/>
  <c r="K71" i="14"/>
  <c r="I71" i="14"/>
  <c r="I92" i="1"/>
  <c r="J84" i="14"/>
  <c r="J92" i="1"/>
  <c r="K84" i="14"/>
  <c r="I95" i="1"/>
  <c r="J87" i="14"/>
  <c r="J95" i="1"/>
  <c r="K87" i="14"/>
  <c r="I99" i="1"/>
  <c r="J91" i="14"/>
  <c r="J99" i="1"/>
  <c r="K91" i="14"/>
  <c r="I106" i="1"/>
  <c r="J98" i="14"/>
  <c r="J106" i="1"/>
  <c r="K98" i="14"/>
  <c r="I118" i="1"/>
  <c r="J110" i="14"/>
  <c r="J118" i="1"/>
  <c r="K110" i="14"/>
  <c r="Q2" i="4"/>
  <c r="N72" i="4"/>
  <c r="G2" i="14"/>
  <c r="G3" i="14"/>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24" i="14"/>
  <c r="G225" i="14"/>
  <c r="G226" i="14"/>
  <c r="G227" i="14"/>
  <c r="G22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93" i="14"/>
  <c r="Z30" i="20"/>
  <c r="AA413" i="14"/>
  <c r="Z25" i="20"/>
  <c r="AA408" i="14"/>
  <c r="H408" i="14"/>
  <c r="Z21" i="20"/>
  <c r="AA404" i="14"/>
  <c r="Z10" i="20"/>
  <c r="AA393" i="14"/>
  <c r="Q6" i="2"/>
  <c r="J43" i="6"/>
  <c r="K332" i="14"/>
  <c r="Z20" i="20"/>
  <c r="AA403" i="14"/>
  <c r="O108" i="8"/>
  <c r="L108" i="8"/>
  <c r="B108" i="8"/>
  <c r="B74" i="8"/>
  <c r="J50" i="5"/>
  <c r="K388" i="14"/>
  <c r="Z32" i="20"/>
  <c r="AA415" i="14"/>
  <c r="Z12" i="20"/>
  <c r="AA395" i="14"/>
  <c r="J74" i="2"/>
  <c r="K193" i="14"/>
  <c r="J56" i="6"/>
  <c r="K344" i="14"/>
  <c r="I43" i="6"/>
  <c r="J332" i="14"/>
  <c r="Z26" i="20"/>
  <c r="AA409" i="14"/>
  <c r="Z22" i="20"/>
  <c r="AA405" i="14"/>
  <c r="I405" i="14"/>
  <c r="Z18" i="20"/>
  <c r="AA401" i="14"/>
  <c r="R62" i="20"/>
  <c r="S443" i="14"/>
  <c r="I33" i="20"/>
  <c r="J416" i="14"/>
  <c r="Z61" i="20"/>
  <c r="AA442" i="14"/>
  <c r="O62" i="20"/>
  <c r="P443" i="14"/>
  <c r="Q5" i="2"/>
  <c r="Z31" i="20"/>
  <c r="AA414" i="14"/>
  <c r="K33" i="20"/>
  <c r="L416" i="14"/>
  <c r="J76" i="1"/>
  <c r="J33" i="20"/>
  <c r="K416" i="14"/>
  <c r="Z17" i="20"/>
  <c r="AA400" i="14"/>
  <c r="I400" i="14"/>
  <c r="J19" i="6"/>
  <c r="K309" i="14"/>
  <c r="Z58" i="20"/>
  <c r="AA439" i="14"/>
  <c r="W62" i="20"/>
  <c r="X443" i="14"/>
  <c r="Z11" i="20"/>
  <c r="AA394" i="14"/>
  <c r="I394" i="14"/>
  <c r="Z27" i="20"/>
  <c r="AA410" i="14"/>
  <c r="Z46" i="20"/>
  <c r="AA427" i="14"/>
  <c r="V33" i="20"/>
  <c r="W416" i="14"/>
  <c r="Z45" i="20"/>
  <c r="AA426" i="14"/>
  <c r="R33" i="20"/>
  <c r="S416" i="14"/>
  <c r="I75" i="2"/>
  <c r="J194" i="14"/>
  <c r="I194" i="14"/>
  <c r="I50" i="5"/>
  <c r="J388" i="14"/>
  <c r="I388" i="14"/>
  <c r="H388" i="14"/>
  <c r="Z54" i="20"/>
  <c r="AA435" i="14"/>
  <c r="Z23" i="20"/>
  <c r="AA406" i="14"/>
  <c r="I37" i="5"/>
  <c r="K376" i="14"/>
  <c r="Z53" i="20"/>
  <c r="Z52" i="20"/>
  <c r="AA433" i="14"/>
  <c r="H433" i="14"/>
  <c r="Y62" i="20"/>
  <c r="Z443" i="14"/>
  <c r="J37" i="5"/>
  <c r="J52" i="5"/>
  <c r="J54" i="5"/>
  <c r="Z51" i="20"/>
  <c r="AA432" i="14"/>
  <c r="H432" i="14"/>
  <c r="S62" i="20"/>
  <c r="T443" i="14"/>
  <c r="Z19" i="20"/>
  <c r="AA402" i="14"/>
  <c r="H402" i="14"/>
  <c r="M33" i="20"/>
  <c r="Z28" i="20"/>
  <c r="AA411" i="14"/>
  <c r="J362" i="14"/>
  <c r="H362" i="14"/>
  <c r="I52" i="5"/>
  <c r="J390" i="14"/>
  <c r="I32" i="14"/>
  <c r="K168" i="14"/>
  <c r="Y398" i="14"/>
  <c r="H398" i="14"/>
  <c r="J108" i="2"/>
  <c r="K207" i="14"/>
  <c r="I207" i="14"/>
  <c r="J226" i="14"/>
  <c r="I226" i="14"/>
  <c r="H226" i="14"/>
  <c r="I337" i="14"/>
  <c r="J325" i="14"/>
  <c r="V62" i="20"/>
  <c r="W443" i="14"/>
  <c r="K62" i="20"/>
  <c r="L443" i="14"/>
  <c r="Z48" i="20"/>
  <c r="AA429" i="14"/>
  <c r="H429" i="14"/>
  <c r="I422" i="14"/>
  <c r="W33" i="20"/>
  <c r="X416" i="14"/>
  <c r="N33" i="20"/>
  <c r="O416" i="14"/>
  <c r="Y397" i="14"/>
  <c r="J354" i="14"/>
  <c r="I354" i="14"/>
  <c r="H354" i="14"/>
  <c r="J22" i="5"/>
  <c r="H337" i="14"/>
  <c r="AA397" i="14"/>
  <c r="I397" i="14"/>
  <c r="I39" i="14"/>
  <c r="O88" i="8"/>
  <c r="K157" i="14"/>
  <c r="J128" i="14"/>
  <c r="I426" i="14"/>
  <c r="K206" i="14"/>
  <c r="H405" i="14"/>
  <c r="H387" i="14"/>
  <c r="H206" i="14"/>
  <c r="T66" i="8"/>
  <c r="U66" i="8"/>
  <c r="N66" i="8"/>
  <c r="J202" i="14"/>
  <c r="H146" i="14"/>
  <c r="N60" i="8"/>
  <c r="L60" i="8"/>
  <c r="B60" i="8"/>
  <c r="J343" i="14"/>
  <c r="H343" i="14"/>
  <c r="I381" i="14"/>
  <c r="AA398" i="14"/>
  <c r="I369" i="14"/>
  <c r="N62" i="8"/>
  <c r="L62" i="8"/>
  <c r="B62" i="8"/>
  <c r="J361" i="14"/>
  <c r="I361" i="14"/>
  <c r="R65" i="20"/>
  <c r="S445" i="14"/>
  <c r="I433" i="14"/>
  <c r="I408" i="14"/>
  <c r="I404" i="14"/>
  <c r="I432" i="14"/>
  <c r="I415" i="14"/>
  <c r="I414" i="14"/>
  <c r="I411" i="14"/>
  <c r="I403" i="14"/>
  <c r="I398" i="14"/>
  <c r="I395" i="14"/>
  <c r="W417" i="14"/>
  <c r="U417" i="14"/>
  <c r="Q417" i="14"/>
  <c r="I351" i="14"/>
  <c r="I367" i="14"/>
  <c r="I355" i="14"/>
  <c r="I335" i="14"/>
  <c r="I214" i="14"/>
  <c r="I206" i="14"/>
  <c r="I165" i="14"/>
  <c r="I121" i="14"/>
  <c r="I113" i="14"/>
  <c r="I161" i="14"/>
  <c r="I153" i="14"/>
  <c r="I129" i="14"/>
  <c r="I125" i="14"/>
  <c r="I117" i="14"/>
  <c r="N117" i="8"/>
  <c r="L117" i="8"/>
  <c r="B117" i="8"/>
  <c r="P117" i="8"/>
  <c r="O116" i="8"/>
  <c r="R116" i="8"/>
  <c r="L86" i="8"/>
  <c r="B86" i="8"/>
  <c r="L46" i="8"/>
  <c r="B46" i="8"/>
  <c r="I109" i="2"/>
  <c r="AH40" i="8"/>
  <c r="AD40" i="8"/>
  <c r="Z40" i="8"/>
  <c r="V40" i="8"/>
  <c r="R40" i="8"/>
  <c r="N40" i="8"/>
  <c r="Q39" i="8"/>
  <c r="AX26" i="8"/>
  <c r="AH26" i="8"/>
  <c r="R26" i="8"/>
  <c r="O25" i="8"/>
  <c r="P20" i="8"/>
  <c r="M35" i="20"/>
  <c r="M36" i="20"/>
  <c r="N418" i="14"/>
  <c r="I35" i="20"/>
  <c r="I36" i="20"/>
  <c r="J418" i="14"/>
  <c r="M66" i="20"/>
  <c r="N446" i="14"/>
  <c r="I66" i="20"/>
  <c r="J446" i="14"/>
  <c r="O64" i="20"/>
  <c r="O65" i="20"/>
  <c r="P445" i="14"/>
  <c r="K64" i="20"/>
  <c r="L444" i="14"/>
  <c r="P39" i="8"/>
  <c r="O20" i="8"/>
  <c r="L20" i="8"/>
  <c r="B20" i="8"/>
  <c r="R19" i="8"/>
  <c r="N12" i="8"/>
  <c r="L35" i="20"/>
  <c r="P64" i="20"/>
  <c r="P65" i="20"/>
  <c r="Q445" i="14"/>
  <c r="L66" i="20"/>
  <c r="M446" i="14"/>
  <c r="N64" i="20"/>
  <c r="O444" i="14"/>
  <c r="J64" i="20"/>
  <c r="K444" i="14"/>
  <c r="J65" i="20"/>
  <c r="K445" i="14"/>
  <c r="BH40" i="8"/>
  <c r="AF40" i="8"/>
  <c r="AB40" i="8"/>
  <c r="X40" i="8"/>
  <c r="T40" i="8"/>
  <c r="AV26" i="8"/>
  <c r="AF26" i="8"/>
  <c r="O35" i="20"/>
  <c r="P417" i="14"/>
  <c r="K35" i="20"/>
  <c r="L417" i="14"/>
  <c r="O66" i="20"/>
  <c r="P446" i="14"/>
  <c r="K66" i="20"/>
  <c r="L446" i="14"/>
  <c r="M64" i="20"/>
  <c r="M65" i="20"/>
  <c r="N445" i="14"/>
  <c r="Q444" i="14"/>
  <c r="L36" i="20"/>
  <c r="M418" i="14"/>
  <c r="M417" i="14"/>
  <c r="J417" i="14"/>
  <c r="J225" i="14"/>
  <c r="H361" i="14"/>
  <c r="H397" i="14"/>
  <c r="J109" i="2"/>
  <c r="K225" i="14"/>
  <c r="K224" i="14"/>
  <c r="Q7" i="2"/>
  <c r="K362" i="14"/>
  <c r="I362" i="14"/>
  <c r="O36" i="20"/>
  <c r="P418" i="14"/>
  <c r="N65" i="20"/>
  <c r="O445" i="14"/>
  <c r="P444" i="14"/>
  <c r="K36" i="20"/>
  <c r="L418" i="14"/>
  <c r="H390" i="14"/>
  <c r="I54" i="5"/>
  <c r="N61" i="8"/>
  <c r="I325" i="14"/>
  <c r="H325" i="14"/>
  <c r="K390" i="14"/>
  <c r="O65" i="8"/>
  <c r="J392" i="14"/>
  <c r="L61" i="8"/>
  <c r="B61" i="8"/>
  <c r="I390" i="14"/>
  <c r="I224" i="14"/>
  <c r="H224" i="14"/>
  <c r="K392" i="14"/>
  <c r="Q3" i="5"/>
  <c r="Q6" i="8"/>
  <c r="H393" i="14"/>
  <c r="AC6" i="20"/>
  <c r="H415" i="14"/>
  <c r="H411" i="14"/>
  <c r="H435" i="14"/>
  <c r="H426" i="14"/>
  <c r="H414" i="14"/>
  <c r="H394" i="14"/>
  <c r="I438" i="14"/>
  <c r="H438" i="14"/>
  <c r="H428" i="14"/>
  <c r="I56" i="6"/>
  <c r="J344" i="14"/>
  <c r="U396" i="14"/>
  <c r="J75" i="2"/>
  <c r="T62" i="20"/>
  <c r="V396" i="14"/>
  <c r="I141" i="14"/>
  <c r="I132" i="14"/>
  <c r="I77" i="14"/>
  <c r="I58" i="14"/>
  <c r="I40" i="14"/>
  <c r="I223" i="14"/>
  <c r="I215" i="14"/>
  <c r="I205" i="14"/>
  <c r="O117" i="8"/>
  <c r="N116" i="8"/>
  <c r="O115" i="8"/>
  <c r="O55" i="8"/>
  <c r="N54" i="8"/>
  <c r="L54" i="8"/>
  <c r="B54" i="8"/>
  <c r="AG50" i="8"/>
  <c r="AO50" i="8"/>
  <c r="BI40" i="8"/>
  <c r="AC40" i="8"/>
  <c r="U40" i="8"/>
  <c r="P40" i="8"/>
  <c r="N33" i="8"/>
  <c r="L33" i="8"/>
  <c r="B33" i="8"/>
  <c r="N28" i="8"/>
  <c r="L28" i="8"/>
  <c r="B28" i="8"/>
  <c r="N25" i="8"/>
  <c r="L25" i="8"/>
  <c r="B25" i="8"/>
  <c r="N22" i="8"/>
  <c r="R21" i="8"/>
  <c r="M37" i="20"/>
  <c r="N419" i="14"/>
  <c r="I37" i="20"/>
  <c r="J419" i="14"/>
  <c r="J35" i="20"/>
  <c r="L64" i="20"/>
  <c r="L65" i="20"/>
  <c r="M445" i="14"/>
  <c r="N66" i="20"/>
  <c r="O446" i="14"/>
  <c r="Q116" i="8"/>
  <c r="AG40" i="8"/>
  <c r="Y40" i="8"/>
  <c r="Q40" i="8"/>
  <c r="N32" i="8"/>
  <c r="L32" i="8"/>
  <c r="B32" i="8"/>
  <c r="N30" i="8"/>
  <c r="L30" i="8"/>
  <c r="B30" i="8"/>
  <c r="P22" i="8"/>
  <c r="O37" i="20"/>
  <c r="P419" i="14"/>
  <c r="K37" i="20"/>
  <c r="L419" i="14"/>
  <c r="N35" i="20"/>
  <c r="N36" i="20"/>
  <c r="O418" i="14"/>
  <c r="J66" i="20"/>
  <c r="K446" i="14"/>
  <c r="AE40" i="8"/>
  <c r="W40" i="8"/>
  <c r="M444" i="14"/>
  <c r="J36" i="20"/>
  <c r="K418" i="14"/>
  <c r="K417" i="14"/>
  <c r="U443" i="14"/>
  <c r="K194" i="14"/>
  <c r="K310" i="14"/>
  <c r="J25" i="6"/>
  <c r="J300" i="14"/>
  <c r="I19" i="6"/>
  <c r="I375" i="14"/>
  <c r="H375" i="14"/>
  <c r="H194" i="14"/>
  <c r="L22" i="8"/>
  <c r="B22" i="8"/>
  <c r="Z49" i="20"/>
  <c r="AA430" i="14"/>
  <c r="Y430" i="14"/>
  <c r="H430" i="14"/>
  <c r="X64" i="20"/>
  <c r="X65" i="20"/>
  <c r="Y445" i="14"/>
  <c r="I425" i="14"/>
  <c r="H425" i="14"/>
  <c r="Z16" i="20"/>
  <c r="X35" i="20"/>
  <c r="X36" i="20"/>
  <c r="Y418" i="14"/>
  <c r="Y399" i="14"/>
  <c r="H406" i="14"/>
  <c r="I406" i="14"/>
  <c r="I377" i="14"/>
  <c r="H377" i="14"/>
  <c r="I319" i="14"/>
  <c r="H319" i="14"/>
  <c r="I305" i="14"/>
  <c r="H305" i="14"/>
  <c r="I281" i="14"/>
  <c r="H281" i="14"/>
  <c r="I271" i="14"/>
  <c r="I266" i="14"/>
  <c r="H266" i="14"/>
  <c r="H264" i="14"/>
  <c r="I258" i="14"/>
  <c r="H258" i="14"/>
  <c r="I237" i="14"/>
  <c r="H237" i="14"/>
  <c r="I228" i="14"/>
  <c r="H228" i="14"/>
  <c r="I169" i="14"/>
  <c r="H169" i="14"/>
  <c r="I156" i="14"/>
  <c r="H156" i="14"/>
  <c r="I154" i="14"/>
  <c r="H154" i="14"/>
  <c r="I119" i="14"/>
  <c r="H119" i="14"/>
  <c r="I104" i="14"/>
  <c r="H104" i="14"/>
  <c r="I24" i="14"/>
  <c r="H24" i="14"/>
  <c r="H392" i="14"/>
  <c r="I392" i="14"/>
  <c r="H225" i="14"/>
  <c r="I225" i="14"/>
  <c r="H379" i="14"/>
  <c r="Y437" i="14"/>
  <c r="X66" i="20"/>
  <c r="Y446" i="14"/>
  <c r="Z56" i="20"/>
  <c r="AA437" i="14"/>
  <c r="H413" i="14"/>
  <c r="I413" i="14"/>
  <c r="I401" i="14"/>
  <c r="H401" i="14"/>
  <c r="I344" i="14"/>
  <c r="H344" i="14"/>
  <c r="I202" i="14"/>
  <c r="H202" i="14"/>
  <c r="I427" i="14"/>
  <c r="H427" i="14"/>
  <c r="H98" i="14"/>
  <c r="I98" i="14"/>
  <c r="Q62" i="20"/>
  <c r="R443" i="14"/>
  <c r="R423" i="14"/>
  <c r="P33" i="20"/>
  <c r="Q416" i="14"/>
  <c r="Q396" i="14"/>
  <c r="H274" i="14"/>
  <c r="N416" i="14"/>
  <c r="AA434" i="14"/>
  <c r="I434" i="14"/>
  <c r="K68" i="14"/>
  <c r="I332" i="14"/>
  <c r="H332" i="14"/>
  <c r="Y431" i="14"/>
  <c r="Z50" i="20"/>
  <c r="AA431" i="14"/>
  <c r="Z43" i="20"/>
  <c r="Y424" i="14"/>
  <c r="Z24" i="20"/>
  <c r="Y407" i="14"/>
  <c r="X37" i="20"/>
  <c r="Y419" i="14"/>
  <c r="I402" i="14"/>
  <c r="Z396" i="14"/>
  <c r="Z13" i="20"/>
  <c r="AA396" i="14"/>
  <c r="Y33" i="20"/>
  <c r="AC5" i="20"/>
  <c r="H383" i="14"/>
  <c r="I365" i="14"/>
  <c r="H365" i="14"/>
  <c r="I273" i="14"/>
  <c r="I256" i="14"/>
  <c r="H256" i="14"/>
  <c r="I253" i="14"/>
  <c r="H253" i="14"/>
  <c r="I227" i="14"/>
  <c r="H227" i="14"/>
  <c r="I211" i="14"/>
  <c r="H211" i="14"/>
  <c r="I209" i="14"/>
  <c r="H209" i="14"/>
  <c r="I203" i="14"/>
  <c r="H203" i="14"/>
  <c r="I152" i="14"/>
  <c r="H152" i="14"/>
  <c r="I95" i="14"/>
  <c r="H95" i="14"/>
  <c r="I17" i="14"/>
  <c r="H17" i="14"/>
  <c r="I15" i="14"/>
  <c r="H15" i="14"/>
  <c r="N41" i="8"/>
  <c r="N38" i="8"/>
  <c r="L38" i="8"/>
  <c r="B38" i="8"/>
  <c r="O38" i="8"/>
  <c r="O21" i="8"/>
  <c r="Q1" i="5"/>
  <c r="J376" i="14"/>
  <c r="Q2" i="5"/>
  <c r="P6" i="8"/>
  <c r="I310" i="14"/>
  <c r="H310" i="14"/>
  <c r="I429" i="14"/>
  <c r="K423" i="14"/>
  <c r="J62" i="20"/>
  <c r="K443" i="14"/>
  <c r="X42" i="20"/>
  <c r="Y420" i="14"/>
  <c r="Z39" i="20"/>
  <c r="I409" i="14"/>
  <c r="H409" i="14"/>
  <c r="H442" i="14"/>
  <c r="H441" i="14"/>
  <c r="I439" i="14"/>
  <c r="H439" i="14"/>
  <c r="I436" i="14"/>
  <c r="I435" i="14"/>
  <c r="H403" i="14"/>
  <c r="H316" i="14"/>
  <c r="H299" i="14"/>
  <c r="H296" i="14"/>
  <c r="H213" i="14"/>
  <c r="H137" i="14"/>
  <c r="I343" i="14"/>
  <c r="U62" i="20"/>
  <c r="V443" i="14"/>
  <c r="H410" i="14"/>
  <c r="I410" i="14"/>
  <c r="H400" i="14"/>
  <c r="K54" i="14"/>
  <c r="H54" i="14"/>
  <c r="J45" i="1"/>
  <c r="K38" i="14"/>
  <c r="I74" i="2"/>
  <c r="J189" i="14"/>
  <c r="J157" i="14"/>
  <c r="I157" i="14"/>
  <c r="L62" i="20"/>
  <c r="M443" i="14"/>
  <c r="I393" i="14"/>
  <c r="W444" i="14"/>
  <c r="V65" i="20"/>
  <c r="W445" i="14"/>
  <c r="H307" i="14"/>
  <c r="H145" i="14"/>
  <c r="H82" i="14"/>
  <c r="H76" i="14"/>
  <c r="H218" i="14"/>
  <c r="H212" i="14"/>
  <c r="H174" i="14"/>
  <c r="H141" i="14"/>
  <c r="I430" i="14"/>
  <c r="Z29" i="20"/>
  <c r="AA412" i="14"/>
  <c r="H32" i="14"/>
  <c r="J396" i="14"/>
  <c r="X13" i="20"/>
  <c r="Y396" i="14"/>
  <c r="I442" i="14"/>
  <c r="I440" i="14"/>
  <c r="P62" i="20"/>
  <c r="Q443" i="14"/>
  <c r="S33" i="20"/>
  <c r="T416" i="14"/>
  <c r="O33" i="20"/>
  <c r="P416" i="14"/>
  <c r="K39" i="4"/>
  <c r="R417" i="14"/>
  <c r="Q36" i="20"/>
  <c r="R418" i="14"/>
  <c r="I383" i="14"/>
  <c r="I330" i="14"/>
  <c r="H330" i="14"/>
  <c r="I328" i="14"/>
  <c r="H328" i="14"/>
  <c r="I316" i="14"/>
  <c r="I308" i="14"/>
  <c r="I235" i="14"/>
  <c r="I162" i="14"/>
  <c r="I42" i="14"/>
  <c r="H42" i="14"/>
  <c r="I33" i="14"/>
  <c r="H33" i="14"/>
  <c r="H83" i="14"/>
  <c r="I347" i="14"/>
  <c r="H347" i="14"/>
  <c r="I151" i="14"/>
  <c r="H151" i="14"/>
  <c r="I144" i="14"/>
  <c r="H144" i="14"/>
  <c r="I389" i="14"/>
  <c r="I329" i="14"/>
  <c r="I323" i="14"/>
  <c r="I251" i="14"/>
  <c r="I243" i="14"/>
  <c r="I231" i="14"/>
  <c r="N14" i="8"/>
  <c r="L14" i="8"/>
  <c r="B14" i="8"/>
  <c r="R119" i="8"/>
  <c r="P115" i="8"/>
  <c r="N24" i="8"/>
  <c r="L24" i="8"/>
  <c r="B24" i="8"/>
  <c r="P24" i="8"/>
  <c r="I254" i="14"/>
  <c r="I238" i="14"/>
  <c r="I219" i="14"/>
  <c r="I148" i="14"/>
  <c r="I111" i="14"/>
  <c r="I89" i="14"/>
  <c r="I85" i="14"/>
  <c r="L85" i="8"/>
  <c r="B85" i="8"/>
  <c r="L82" i="8"/>
  <c r="B82" i="8"/>
  <c r="L75" i="8"/>
  <c r="B75" i="8"/>
  <c r="V119" i="8"/>
  <c r="U119" i="8"/>
  <c r="I262" i="14"/>
  <c r="I246" i="14"/>
  <c r="I230" i="14"/>
  <c r="I218" i="14"/>
  <c r="I166" i="14"/>
  <c r="I139" i="14"/>
  <c r="I112" i="14"/>
  <c r="I83" i="14"/>
  <c r="I51" i="14"/>
  <c r="L81" i="8"/>
  <c r="B81" i="8"/>
  <c r="L77" i="8"/>
  <c r="B77" i="8"/>
  <c r="Y26" i="8"/>
  <c r="BE26" i="8"/>
  <c r="AK26" i="8"/>
  <c r="N68" i="8"/>
  <c r="L68" i="8"/>
  <c r="B68" i="8"/>
  <c r="J37" i="20"/>
  <c r="K419" i="14"/>
  <c r="N37" i="20"/>
  <c r="O419" i="14"/>
  <c r="H396" i="14"/>
  <c r="I396" i="14"/>
  <c r="H434" i="14"/>
  <c r="J193" i="14"/>
  <c r="Q8" i="2"/>
  <c r="Y423" i="14"/>
  <c r="Z42" i="20"/>
  <c r="AA423" i="14"/>
  <c r="Z416" i="14"/>
  <c r="AA424" i="14"/>
  <c r="Z66" i="20"/>
  <c r="AA446" i="14"/>
  <c r="I437" i="14"/>
  <c r="H437" i="14"/>
  <c r="X62" i="20"/>
  <c r="I25" i="6"/>
  <c r="J309" i="14"/>
  <c r="H157" i="14"/>
  <c r="AA420" i="14"/>
  <c r="H423" i="14"/>
  <c r="AA407" i="14"/>
  <c r="Z37" i="20"/>
  <c r="AA419" i="14"/>
  <c r="I431" i="14"/>
  <c r="H431" i="14"/>
  <c r="X33" i="20"/>
  <c r="Y416" i="14"/>
  <c r="AA399" i="14"/>
  <c r="H399" i="14"/>
  <c r="Z35" i="20"/>
  <c r="AA417" i="14"/>
  <c r="K315" i="14"/>
  <c r="J28" i="6"/>
  <c r="B50" i="14"/>
  <c r="O6" i="8"/>
  <c r="I407" i="14"/>
  <c r="H407" i="14"/>
  <c r="I300" i="14"/>
  <c r="H300" i="14"/>
  <c r="I412" i="14"/>
  <c r="H412" i="14"/>
  <c r="H189" i="14"/>
  <c r="I189" i="14"/>
  <c r="I420" i="14"/>
  <c r="H420" i="14"/>
  <c r="Z64" i="20"/>
  <c r="Z65" i="20"/>
  <c r="AA445" i="14"/>
  <c r="I376" i="14"/>
  <c r="H376" i="14"/>
  <c r="I424" i="14"/>
  <c r="H424" i="14"/>
  <c r="I54" i="14"/>
  <c r="Z62" i="20"/>
  <c r="AA443" i="14"/>
  <c r="Y443" i="14"/>
  <c r="I399" i="14"/>
  <c r="Z33" i="20"/>
  <c r="I80" i="2"/>
  <c r="J198" i="14"/>
  <c r="J80" i="2"/>
  <c r="K198" i="14"/>
  <c r="I28" i="6"/>
  <c r="J315" i="14"/>
  <c r="I423" i="14"/>
  <c r="I193" i="14"/>
  <c r="H193" i="14"/>
  <c r="Z36" i="20"/>
  <c r="AA418" i="14"/>
  <c r="I309" i="14"/>
  <c r="H309" i="14"/>
  <c r="J58" i="6"/>
  <c r="K318" i="14"/>
  <c r="H443" i="14"/>
  <c r="I443" i="14"/>
  <c r="K346" i="14"/>
  <c r="J60" i="6"/>
  <c r="K348" i="14"/>
  <c r="AC3" i="20"/>
  <c r="Q7" i="8"/>
  <c r="AA416" i="14"/>
  <c r="AC2" i="20"/>
  <c r="H315" i="14"/>
  <c r="I315" i="14"/>
  <c r="Q3" i="6"/>
  <c r="Q5" i="8"/>
  <c r="I58" i="6"/>
  <c r="J318" i="14"/>
  <c r="H318" i="14"/>
  <c r="I318" i="14"/>
  <c r="J346" i="14"/>
  <c r="I60" i="6"/>
  <c r="P7" i="8"/>
  <c r="AC1" i="20"/>
  <c r="H416" i="14"/>
  <c r="I416" i="14"/>
  <c r="N59" i="8"/>
  <c r="L59" i="8"/>
  <c r="B59" i="8"/>
  <c r="N19" i="6"/>
  <c r="J348" i="14"/>
  <c r="Q1" i="6"/>
  <c r="I60" i="4"/>
  <c r="B51" i="14"/>
  <c r="O7" i="8"/>
  <c r="H346" i="14"/>
  <c r="I346" i="14"/>
  <c r="Q2" i="6"/>
  <c r="P5" i="8"/>
  <c r="I58" i="4"/>
  <c r="O5" i="8"/>
  <c r="B49" i="14"/>
  <c r="H348" i="14"/>
  <c r="I348" i="14"/>
  <c r="AB71" i="8"/>
  <c r="T71" i="8"/>
  <c r="P71" i="8"/>
  <c r="AD71" i="8"/>
  <c r="Y71" i="8"/>
  <c r="AC71" i="8"/>
  <c r="U71" i="8"/>
  <c r="O114" i="8"/>
  <c r="Z71" i="8"/>
  <c r="R71" i="8"/>
  <c r="X71" i="8"/>
  <c r="AA71" i="8"/>
  <c r="Q71" i="8"/>
  <c r="S71" i="8"/>
  <c r="W71" i="8"/>
  <c r="O71" i="8"/>
  <c r="V71" i="8"/>
  <c r="P113" i="8"/>
  <c r="O113" i="8"/>
  <c r="I185" i="14"/>
  <c r="I171" i="14"/>
  <c r="I149" i="14"/>
  <c r="I142" i="14"/>
  <c r="J14" i="2"/>
  <c r="J61" i="2"/>
  <c r="K181" i="14"/>
  <c r="M93" i="8"/>
  <c r="B93" i="8"/>
  <c r="K180" i="14"/>
  <c r="H180" i="14"/>
  <c r="AF50" i="8"/>
  <c r="AN50" i="8"/>
  <c r="K128" i="14"/>
  <c r="H128" i="14"/>
  <c r="I130" i="14"/>
  <c r="I120" i="14"/>
  <c r="J134" i="1"/>
  <c r="K126" i="14"/>
  <c r="H91" i="14"/>
  <c r="I88" i="14"/>
  <c r="I65" i="14"/>
  <c r="H50" i="14"/>
  <c r="H14" i="14"/>
  <c r="H11" i="14"/>
  <c r="J10" i="1"/>
  <c r="I9" i="14"/>
  <c r="H291" i="14"/>
  <c r="H285" i="14"/>
  <c r="I279" i="14"/>
  <c r="I252" i="14"/>
  <c r="H198" i="14"/>
  <c r="I198" i="14"/>
  <c r="I168" i="14"/>
  <c r="H168" i="14"/>
  <c r="N89" i="8"/>
  <c r="I164" i="14"/>
  <c r="H149" i="14"/>
  <c r="I14" i="2"/>
  <c r="I61" i="2"/>
  <c r="J181" i="14"/>
  <c r="J140" i="14"/>
  <c r="I136" i="14"/>
  <c r="H136" i="14"/>
  <c r="V50" i="8"/>
  <c r="AB52" i="8"/>
  <c r="R50" i="8"/>
  <c r="J180" i="14"/>
  <c r="I180" i="14"/>
  <c r="H133" i="14"/>
  <c r="Z50" i="8"/>
  <c r="H124" i="14"/>
  <c r="H110" i="14"/>
  <c r="I110" i="14"/>
  <c r="I91" i="14"/>
  <c r="H92" i="14"/>
  <c r="I87" i="14"/>
  <c r="H87" i="14"/>
  <c r="H84" i="14"/>
  <c r="I84" i="14"/>
  <c r="I76" i="1"/>
  <c r="H78" i="14"/>
  <c r="I78" i="14"/>
  <c r="H65" i="14"/>
  <c r="I45" i="1"/>
  <c r="J38" i="14"/>
  <c r="H38" i="14"/>
  <c r="I47" i="14"/>
  <c r="H47" i="14"/>
  <c r="I11" i="14"/>
  <c r="H4" i="14"/>
  <c r="I4" i="14"/>
  <c r="I10" i="1"/>
  <c r="H6" i="14"/>
  <c r="AA40" i="8"/>
  <c r="L40" i="8"/>
  <c r="B40" i="8"/>
  <c r="L48" i="8"/>
  <c r="B48" i="8"/>
  <c r="N119" i="8"/>
  <c r="O66" i="8"/>
  <c r="T49" i="8"/>
  <c r="M49" i="8"/>
  <c r="B49" i="8"/>
  <c r="O39" i="8"/>
  <c r="L56" i="8"/>
  <c r="N96" i="8"/>
  <c r="P96" i="8"/>
  <c r="P56" i="8"/>
  <c r="M56" i="8"/>
  <c r="P18" i="8"/>
  <c r="T96" i="8"/>
  <c r="AC52" i="8"/>
  <c r="W50" i="8"/>
  <c r="N97" i="8"/>
  <c r="M97" i="8"/>
  <c r="B97" i="8"/>
  <c r="AA50" i="8"/>
  <c r="N122" i="8"/>
  <c r="M122" i="8"/>
  <c r="B122" i="8"/>
  <c r="Q96" i="8"/>
  <c r="T18" i="8"/>
  <c r="M18" i="8"/>
  <c r="O18" i="8"/>
  <c r="O31" i="8"/>
  <c r="O29" i="8"/>
  <c r="N55" i="8"/>
  <c r="L55" i="8"/>
  <c r="B55" i="8"/>
  <c r="N29" i="8"/>
  <c r="L31" i="8"/>
  <c r="B31" i="8"/>
  <c r="AU26" i="8"/>
  <c r="AC26" i="8"/>
  <c r="AL26" i="8"/>
  <c r="AS26" i="8"/>
  <c r="P26" i="8"/>
  <c r="AG26" i="8"/>
  <c r="AY26" i="8"/>
  <c r="P41" i="8"/>
  <c r="L41" i="8"/>
  <c r="B41" i="8"/>
  <c r="AB26" i="8"/>
  <c r="AR26" i="8"/>
  <c r="BH26" i="8"/>
  <c r="N26" i="8"/>
  <c r="AD26" i="8"/>
  <c r="AT26" i="8"/>
  <c r="BC26" i="8"/>
  <c r="AE26" i="8"/>
  <c r="S26" i="8"/>
  <c r="AA26" i="8"/>
  <c r="AW26" i="8"/>
  <c r="Q26" i="8"/>
  <c r="T26" i="8"/>
  <c r="AJ26" i="8"/>
  <c r="AZ26" i="8"/>
  <c r="V26" i="8"/>
  <c r="BB26" i="8"/>
  <c r="AQ26" i="8"/>
  <c r="W26" i="8"/>
  <c r="BA26" i="8"/>
  <c r="U26" i="8"/>
  <c r="AO26" i="8"/>
  <c r="AI26" i="8"/>
  <c r="X26" i="8"/>
  <c r="AN26" i="8"/>
  <c r="BD26" i="8"/>
  <c r="Z26" i="8"/>
  <c r="AP26" i="8"/>
  <c r="BF26" i="8"/>
  <c r="BG26" i="8"/>
  <c r="AM26" i="8"/>
  <c r="Q21" i="8"/>
  <c r="N21" i="8"/>
  <c r="S21" i="8"/>
  <c r="P21" i="8"/>
  <c r="N18" i="8"/>
  <c r="L18" i="8"/>
  <c r="V47" i="8"/>
  <c r="U36" i="20"/>
  <c r="V418" i="14"/>
  <c r="Y444" i="14"/>
  <c r="O417" i="14"/>
  <c r="Q67" i="8"/>
  <c r="N417" i="14"/>
  <c r="N65" i="8"/>
  <c r="L65" i="8"/>
  <c r="B65" i="8"/>
  <c r="S66" i="8"/>
  <c r="N67" i="8"/>
  <c r="U65" i="20"/>
  <c r="V445" i="14"/>
  <c r="T444" i="14"/>
  <c r="W36" i="20"/>
  <c r="X418" i="14"/>
  <c r="T417" i="14"/>
  <c r="T47" i="8"/>
  <c r="N13" i="8"/>
  <c r="L13" i="8"/>
  <c r="B13" i="8"/>
  <c r="Q66" i="8"/>
  <c r="R66" i="8"/>
  <c r="P67" i="8"/>
  <c r="Y36" i="20"/>
  <c r="Z418" i="14"/>
  <c r="H446" i="14"/>
  <c r="J444" i="14"/>
  <c r="I65" i="20"/>
  <c r="J445" i="14"/>
  <c r="AA444" i="14"/>
  <c r="Y417" i="14"/>
  <c r="N444" i="14"/>
  <c r="Y65" i="20"/>
  <c r="Z445" i="14"/>
  <c r="X444" i="14"/>
  <c r="Q65" i="20"/>
  <c r="R445" i="14"/>
  <c r="R36" i="20"/>
  <c r="S418" i="14"/>
  <c r="H418" i="14"/>
  <c r="L37" i="20"/>
  <c r="M419" i="14"/>
  <c r="I446" i="14"/>
  <c r="K65" i="20"/>
  <c r="L445" i="14"/>
  <c r="AJ50" i="8"/>
  <c r="K134" i="14"/>
  <c r="J62" i="2"/>
  <c r="J66" i="2"/>
  <c r="I128" i="14"/>
  <c r="J73" i="1"/>
  <c r="Q3" i="1"/>
  <c r="Q2" i="8"/>
  <c r="O110" i="8"/>
  <c r="K3" i="14"/>
  <c r="J134" i="14"/>
  <c r="H134" i="14"/>
  <c r="I64" i="2"/>
  <c r="J184" i="14"/>
  <c r="I140" i="14"/>
  <c r="H140" i="14"/>
  <c r="I62" i="2"/>
  <c r="I77" i="2"/>
  <c r="I63" i="2"/>
  <c r="J183" i="14"/>
  <c r="J68" i="14"/>
  <c r="I134" i="1"/>
  <c r="J126" i="14"/>
  <c r="N71" i="8"/>
  <c r="L71" i="8"/>
  <c r="B71" i="8"/>
  <c r="I38" i="14"/>
  <c r="J3" i="14"/>
  <c r="I73" i="1"/>
  <c r="L66" i="8"/>
  <c r="B66" i="8"/>
  <c r="B56" i="8"/>
  <c r="M96" i="8"/>
  <c r="B96" i="8"/>
  <c r="B18" i="8"/>
  <c r="L29" i="8"/>
  <c r="B29" i="8"/>
  <c r="L26" i="8"/>
  <c r="B26" i="8"/>
  <c r="L21" i="8"/>
  <c r="B21" i="8"/>
  <c r="I417" i="14"/>
  <c r="H417" i="14"/>
  <c r="H419" i="14"/>
  <c r="I419" i="14"/>
  <c r="H445" i="14"/>
  <c r="I445" i="14"/>
  <c r="I418" i="14"/>
  <c r="I444" i="14"/>
  <c r="H444" i="14"/>
  <c r="N57" i="8"/>
  <c r="L57" i="8"/>
  <c r="B57" i="8"/>
  <c r="K66" i="14"/>
  <c r="AE50" i="8"/>
  <c r="O44" i="8"/>
  <c r="AM50" i="8"/>
  <c r="AI50" i="8"/>
  <c r="I134" i="14"/>
  <c r="I66" i="2"/>
  <c r="J186" i="14"/>
  <c r="N70" i="8"/>
  <c r="L70" i="8"/>
  <c r="B70" i="8"/>
  <c r="J182" i="14"/>
  <c r="I82" i="2"/>
  <c r="I78" i="2"/>
  <c r="J196" i="14"/>
  <c r="J195" i="14"/>
  <c r="I83" i="2"/>
  <c r="J201" i="14"/>
  <c r="I79" i="2"/>
  <c r="J197" i="14"/>
  <c r="H126" i="14"/>
  <c r="I126" i="14"/>
  <c r="H68" i="14"/>
  <c r="I68" i="14"/>
  <c r="H3" i="14"/>
  <c r="I3" i="14"/>
  <c r="Q50" i="8"/>
  <c r="J66" i="14"/>
  <c r="U50" i="8"/>
  <c r="Y50" i="8"/>
  <c r="N44" i="8"/>
  <c r="AA52" i="8"/>
  <c r="Z52" i="8"/>
  <c r="Q2" i="1"/>
  <c r="AC50" i="8"/>
  <c r="N63" i="8"/>
  <c r="I68" i="2"/>
  <c r="N64" i="8"/>
  <c r="I67" i="2"/>
  <c r="I81" i="2"/>
  <c r="R47" i="8"/>
  <c r="J200" i="14"/>
  <c r="J188" i="14"/>
  <c r="J187" i="14"/>
  <c r="I66" i="14"/>
  <c r="H66" i="14"/>
  <c r="Q1" i="1"/>
  <c r="P2" i="8"/>
  <c r="O50" i="8"/>
  <c r="N50" i="8"/>
  <c r="N47" i="8"/>
  <c r="P47" i="8"/>
  <c r="Q2" i="2"/>
  <c r="P3" i="8"/>
  <c r="J199" i="14"/>
  <c r="P63" i="8"/>
  <c r="P64" i="8"/>
  <c r="L50" i="8"/>
  <c r="B50" i="8"/>
  <c r="C50" i="8"/>
  <c r="N110" i="8"/>
  <c r="N39" i="8"/>
  <c r="L39" i="8"/>
  <c r="R113" i="8"/>
  <c r="Q114" i="8"/>
  <c r="S113" i="8"/>
  <c r="O2" i="8"/>
  <c r="B46" i="14"/>
  <c r="P110" i="8"/>
  <c r="N51" i="8"/>
  <c r="B39" i="8"/>
  <c r="I294" i="14"/>
  <c r="Q3" i="10"/>
  <c r="Q4" i="8"/>
  <c r="J67" i="2"/>
  <c r="O63" i="8"/>
  <c r="O64" i="8"/>
  <c r="K186" i="14"/>
  <c r="J68" i="2"/>
  <c r="I181" i="14"/>
  <c r="H181" i="14"/>
  <c r="J77" i="2"/>
  <c r="J64" i="2"/>
  <c r="K184" i="14"/>
  <c r="K182" i="14"/>
  <c r="J63" i="2"/>
  <c r="K195" i="14"/>
  <c r="J83" i="2"/>
  <c r="J82" i="2"/>
  <c r="J78" i="2"/>
  <c r="K196" i="14"/>
  <c r="J79" i="2"/>
  <c r="K197" i="14"/>
  <c r="K188" i="14"/>
  <c r="K183" i="14"/>
  <c r="N58" i="8"/>
  <c r="L58" i="8"/>
  <c r="B58" i="8"/>
  <c r="I186" i="14"/>
  <c r="H186" i="14"/>
  <c r="H182" i="14"/>
  <c r="I182" i="14"/>
  <c r="H184" i="14"/>
  <c r="I184" i="14"/>
  <c r="K187" i="14"/>
  <c r="H188" i="14"/>
  <c r="I188" i="14"/>
  <c r="J81" i="2"/>
  <c r="Q3" i="2"/>
  <c r="S47" i="8"/>
  <c r="K200" i="14"/>
  <c r="H197" i="14"/>
  <c r="I197" i="14"/>
  <c r="K201" i="14"/>
  <c r="I187" i="14"/>
  <c r="H187" i="14"/>
  <c r="H183" i="14"/>
  <c r="I183" i="14"/>
  <c r="H196" i="14"/>
  <c r="I196" i="14"/>
  <c r="H195" i="14"/>
  <c r="I195" i="14"/>
  <c r="Q1" i="2"/>
  <c r="Q3" i="8"/>
  <c r="I201" i="14"/>
  <c r="H201" i="14"/>
  <c r="Q47" i="8"/>
  <c r="U47" i="8"/>
  <c r="H200" i="14"/>
  <c r="I200" i="14"/>
  <c r="Q64" i="8"/>
  <c r="L64" i="8"/>
  <c r="B64" i="8"/>
  <c r="K199" i="14"/>
  <c r="Q63" i="8"/>
  <c r="L63" i="8"/>
  <c r="B63" i="8"/>
  <c r="O47" i="8"/>
  <c r="N69" i="8"/>
  <c r="L69" i="8"/>
  <c r="B69" i="8"/>
  <c r="L47" i="8"/>
  <c r="O3" i="8"/>
  <c r="I52" i="4"/>
  <c r="B47" i="14"/>
  <c r="H199" i="14"/>
  <c r="I199" i="14"/>
  <c r="O67" i="8"/>
  <c r="L67" i="8"/>
  <c r="B67" i="8"/>
  <c r="Q110" i="8"/>
  <c r="L110" i="8"/>
  <c r="B110" i="8"/>
  <c r="O51" i="8"/>
  <c r="B47" i="8"/>
  <c r="O52" i="8"/>
  <c r="Q44" i="8"/>
  <c r="O17" i="8"/>
  <c r="Q19" i="8"/>
  <c r="L19" i="8"/>
  <c r="B19" i="8"/>
  <c r="P52" i="8"/>
  <c r="N16" i="8"/>
  <c r="L16" i="8"/>
  <c r="B16" i="8"/>
  <c r="P44" i="8"/>
  <c r="L44" i="8"/>
  <c r="B44" i="8"/>
  <c r="N107" i="8"/>
  <c r="L107" i="8"/>
  <c r="B107" i="8"/>
  <c r="Q115" i="8"/>
  <c r="L115" i="8"/>
  <c r="B115" i="8"/>
  <c r="Q113" i="8"/>
  <c r="N114" i="8"/>
  <c r="L114" i="8"/>
  <c r="B114" i="8"/>
  <c r="Q119" i="8"/>
  <c r="N118" i="8"/>
  <c r="L118" i="8"/>
  <c r="B118" i="8"/>
  <c r="O15" i="8"/>
  <c r="L15" i="8"/>
  <c r="B15" i="8"/>
  <c r="O53" i="8"/>
  <c r="L53" i="8"/>
  <c r="B53" i="8"/>
  <c r="N113" i="8"/>
  <c r="P114" i="8"/>
  <c r="O12" i="8"/>
  <c r="L12" i="8"/>
  <c r="B12" i="8"/>
  <c r="N52" i="8"/>
  <c r="N17" i="8"/>
  <c r="O16" i="8"/>
  <c r="T17" i="8"/>
  <c r="M17" i="8"/>
  <c r="L52" i="8"/>
  <c r="B52" i="8"/>
  <c r="L17" i="8"/>
  <c r="B17" i="8"/>
  <c r="L113" i="8"/>
  <c r="B113" i="8"/>
  <c r="L116" i="8"/>
  <c r="B116" i="8"/>
  <c r="O112" i="8"/>
  <c r="L112" i="8"/>
  <c r="B112" i="8"/>
  <c r="I298" i="14"/>
  <c r="I295" i="14"/>
  <c r="O100" i="8"/>
  <c r="O99" i="8"/>
  <c r="K289" i="14"/>
  <c r="J289" i="14"/>
  <c r="N100" i="8"/>
  <c r="M100" i="8"/>
  <c r="B100" i="8"/>
  <c r="N99" i="8"/>
  <c r="M99" i="8"/>
  <c r="B99" i="8"/>
  <c r="Q2" i="10"/>
  <c r="P4" i="8"/>
  <c r="N91" i="8"/>
  <c r="N90" i="8"/>
  <c r="L90" i="8"/>
  <c r="B90" i="8"/>
  <c r="I288" i="14"/>
  <c r="L88" i="8"/>
  <c r="B88" i="8"/>
  <c r="L79" i="8"/>
  <c r="B79" i="8"/>
  <c r="H278" i="14"/>
  <c r="I277" i="14"/>
  <c r="H268" i="14"/>
  <c r="H263" i="14"/>
  <c r="I261" i="14"/>
  <c r="H259" i="14"/>
  <c r="N102" i="8"/>
  <c r="O103" i="8"/>
  <c r="V111" i="8"/>
  <c r="R51" i="8"/>
  <c r="O98" i="8"/>
  <c r="O102" i="8"/>
  <c r="O91" i="8"/>
  <c r="M91" i="8"/>
  <c r="B91" i="8"/>
  <c r="O92" i="8"/>
  <c r="Q51" i="8"/>
  <c r="O111" i="8"/>
  <c r="O104" i="8"/>
  <c r="O105" i="8"/>
  <c r="M94" i="8"/>
  <c r="B94" i="8"/>
  <c r="Q1" i="10"/>
  <c r="I54" i="4"/>
  <c r="B48" i="14"/>
  <c r="P51" i="8"/>
  <c r="P111" i="8"/>
  <c r="N111" i="8"/>
  <c r="N103" i="8"/>
  <c r="U111" i="8"/>
  <c r="N98" i="8"/>
  <c r="O119" i="8"/>
  <c r="L119" i="8"/>
  <c r="B119" i="8"/>
  <c r="N104" i="8"/>
  <c r="N105" i="8"/>
  <c r="M105" i="8"/>
  <c r="B105" i="8"/>
  <c r="M92" i="8"/>
  <c r="B92" i="8"/>
  <c r="N92" i="8"/>
  <c r="I289" i="14"/>
  <c r="N121" i="8"/>
  <c r="L121" i="8"/>
  <c r="B121" i="8"/>
  <c r="H289" i="14"/>
  <c r="B59" i="14"/>
  <c r="A15" i="4"/>
  <c r="M98" i="8"/>
  <c r="B98" i="8"/>
  <c r="M103" i="8"/>
  <c r="B103" i="8"/>
  <c r="M111" i="8"/>
  <c r="M104" i="8"/>
  <c r="B104" i="8"/>
  <c r="M102" i="8"/>
  <c r="B102" i="8"/>
  <c r="O4" i="8"/>
  <c r="S76" i="8"/>
  <c r="L51" i="8"/>
  <c r="B51" i="8"/>
  <c r="Q111" i="8"/>
  <c r="L111" i="8"/>
  <c r="B111" i="8"/>
  <c r="O78" i="8"/>
  <c r="N78" i="8"/>
  <c r="N76" i="8"/>
  <c r="O76" i="8"/>
  <c r="T76" i="8"/>
  <c r="M76" i="8"/>
  <c r="J7" i="8"/>
  <c r="L78" i="8"/>
  <c r="B78" i="8"/>
  <c r="L76" i="8"/>
  <c r="B76" i="8"/>
  <c r="B120" i="8" l="1"/>
  <c r="J4" i="8"/>
  <c r="A78" i="4" l="1"/>
  <c r="A3" i="4"/>
  <c r="B58" i="14"/>
</calcChain>
</file>

<file path=xl/comments1.xml><?xml version="1.0" encoding="utf-8"?>
<comments xmlns="http://schemas.openxmlformats.org/spreadsheetml/2006/main">
  <authors>
    <author>Strugy</author>
    <author>Željko Strunjak</author>
  </authors>
  <commentList>
    <comment ref="M6" authorId="0" shapeId="0">
      <text>
        <r>
          <rPr>
            <b/>
            <sz val="9"/>
            <color indexed="81"/>
            <rFont val="Arial"/>
            <family val="2"/>
            <charset val="238"/>
          </rPr>
          <t>Naputak:</t>
        </r>
        <r>
          <rPr>
            <sz val="9"/>
            <color indexed="81"/>
            <rFont val="Arial"/>
            <family val="2"/>
            <charset val="238"/>
          </rPr>
          <t xml:space="preserve">
Samo obveznici koji tokom godine nisu imali ni prihoda ni rashoda, ali posjeduju imovinu te su iz tog razloga obvezni predati financijski izvještaj u ovo polje upisuju NE kako bi im se omogućila predaja Računa dobiti i gubitka sa svim nulama.</t>
        </r>
      </text>
    </comment>
    <comment ref="E12" authorId="1" shapeId="0">
      <text>
        <r>
          <rPr>
            <b/>
            <sz val="8"/>
            <color indexed="81"/>
            <rFont val="Tahoma"/>
            <charset val="238"/>
          </rPr>
          <t>Naputak:</t>
        </r>
        <r>
          <rPr>
            <sz val="8"/>
            <color indexed="81"/>
            <rFont val="Tahoma"/>
            <charset val="238"/>
          </rPr>
          <t xml:space="preserve">
Izbor godine moguć je prema upisanom razdoblju "datuma od" i "datuma do" na vrhu ovog lista. Godinu za koju predajete birajte tek nakon upisanih datuma jer će Excel datoteka ponuditi samo moguće godine za upisane datume.</t>
        </r>
      </text>
    </comment>
    <comment ref="A19" authorId="1" shapeId="0">
      <text>
        <r>
          <rPr>
            <b/>
            <sz val="8"/>
            <color indexed="81"/>
            <rFont val="Tahoma"/>
            <charset val="238"/>
          </rPr>
          <t>Uputa:</t>
        </r>
        <r>
          <rPr>
            <sz val="8"/>
            <color indexed="81"/>
            <rFont val="Tahoma"/>
            <charset val="238"/>
          </rPr>
          <t xml:space="preserve">
Svrha predaje može biti za statističke potrebe ili za potrebe javne objave. Za statističke svrhe potrebno je popuniti Bilancu, Račun dobiti i gubitka te Dodatne podatke. Za potrebe javne objave Dodatne podatke nije potrebno popuniti, ali je potrebno priložiti nestandardnu dokumentaciju (u zavisnosti od veličine poduzetnika). Prema upisanoj šifri svrhe predaje određuje se i potrebna dokumentacija. Šifra svrhe predaje može biti:
1 - statističke potrebe
2 - javna objava
3 - isti obrazac za statističke svrhe i za javnu objavu.</t>
        </r>
      </text>
    </comment>
    <comment ref="J21" authorId="1" shapeId="0">
      <text>
        <r>
          <rPr>
            <b/>
            <sz val="8"/>
            <color indexed="81"/>
            <rFont val="Tahoma"/>
            <charset val="238"/>
          </rPr>
          <t>Napomena:</t>
        </r>
        <r>
          <rPr>
            <sz val="8"/>
            <color indexed="81"/>
            <rFont val="Tahoma"/>
            <charset val="238"/>
          </rPr>
          <t xml:space="preserve">
Ako je izvještaj revidiran, i predaja je u svrhu javne objave upisuje se DA u obvezu revizije, te OIB revizorskog društva ili samostalnog revizora koji je revidirao financijski izvještaj.</t>
        </r>
      </text>
    </comment>
    <comment ref="F27" authorId="1" shapeId="0">
      <text>
        <r>
          <rPr>
            <b/>
            <sz val="8"/>
            <color indexed="81"/>
            <rFont val="Tahoma"/>
            <charset val="238"/>
          </rPr>
          <t>Naputak:</t>
        </r>
        <r>
          <rPr>
            <sz val="8"/>
            <color indexed="81"/>
            <rFont val="Tahoma"/>
            <charset val="238"/>
          </rPr>
          <t xml:space="preserve">
Upisuje se matični broj dodijeljen od Državnog zavoda za statistiku, na osam znamenaka, s vodećim nulama za matične brojeve kraće od osam znamenaka.
Obrtnici upisuju matični broj koji počinje s brojem 9, slobodna zanimanja počinju s brojem 8 kao vodećim brojem, a poljoprivredna gospodarstva imaju vodeću znamenku 5.</t>
        </r>
      </text>
    </comment>
    <comment ref="A29" authorId="1" shapeId="0">
      <text>
        <r>
          <rPr>
            <b/>
            <sz val="8"/>
            <color indexed="81"/>
            <rFont val="Tahoma"/>
            <charset val="238"/>
          </rPr>
          <t xml:space="preserve">Uputa:
</t>
        </r>
        <r>
          <rPr>
            <sz val="8"/>
            <color indexed="81"/>
            <rFont val="Tahoma"/>
            <family val="2"/>
            <charset val="238"/>
          </rPr>
          <t>Upisuje se skraćeni naziv poduzetnika, bez nepotrebnih navodnika, razdvajanja naziva razmacima tipa "T V R T K A" d.o.o. i slično.
Naziv upisujte na način: TVRTKA d.o.o. Isto tako, nakon skraćenog naziva ne upisujte tekst tipa "ZA PROIZVODNJU, USLUGE I GRADITELJSTVO" i slično.</t>
        </r>
      </text>
    </comment>
    <comment ref="A35" authorId="1" shapeId="0">
      <text>
        <r>
          <rPr>
            <b/>
            <sz val="8"/>
            <color indexed="81"/>
            <rFont val="Tahoma"/>
            <charset val="238"/>
          </rPr>
          <t>Uputa:</t>
        </r>
        <r>
          <rPr>
            <sz val="8"/>
            <color indexed="81"/>
            <rFont val="Tahoma"/>
            <charset val="238"/>
          </rPr>
          <t xml:space="preserve">
Unosi se adresa e-pošte obveznika, ne knjigovodstvenog servisa koji sastavlja izvještaj u ime obveznika. Također, upisana adresa se kontrolira da ne sadrži specijalne znakove, razmake i sve one znakove koje adresa e-pošte ne može sadržavati. Uvijek unesite samo jednu adresu.</t>
        </r>
      </text>
    </comment>
    <comment ref="A37" authorId="1" shapeId="0">
      <text>
        <r>
          <rPr>
            <b/>
            <sz val="8"/>
            <color indexed="81"/>
            <rFont val="Tahoma"/>
            <charset val="238"/>
          </rPr>
          <t>Uputa:</t>
        </r>
        <r>
          <rPr>
            <sz val="8"/>
            <color indexed="81"/>
            <rFont val="Tahoma"/>
            <charset val="238"/>
          </rPr>
          <t xml:space="preserve">
Upisuje se adresa službenih internet stranica obveznika, bez http:// - samo www.stranica.hr).</t>
        </r>
      </text>
    </comment>
    <comment ref="I50" authorId="1" shapeId="0">
      <text>
        <r>
          <rPr>
            <b/>
            <sz val="8"/>
            <color indexed="81"/>
            <rFont val="Tahoma"/>
            <charset val="238"/>
          </rPr>
          <t>Uputa:</t>
        </r>
        <r>
          <rPr>
            <sz val="8"/>
            <color indexed="81"/>
            <rFont val="Tahoma"/>
            <charset val="238"/>
          </rPr>
          <t xml:space="preserve">
Oznaka DA ili NE za Bilancu, Račun dobiti i gubitka, Dopunske podatke, Izvještaj o novčanom tijeku te izvještaj o promjenama kapitala se ne unose jer se automatski generira "DA" ili "NE" zavisno da li je nešto upisano u pripadajuće tablice ili nije. 
Bilješka, Revizorsko izvješće, Godišnje izvješće, Odluka o raspodjeli dobiti i Odluka o utvrđivanja godišnjeg financijskog izvješća odabire korisnik (prema dokumentaciji koju predaje). U slučaju da označite s NE dokumentaciju koju ste obavezni predati, kontrola će Vam obrazac proglasiti neispravnim. U nekim slučajevima se neka dokumentacija ne predaje i ne popunjava (npr. ako je predaja samo u statističke svrhe izvješće revizora se ne predaje, ili ako je predaja samo u svrhu javne objave - Dodatni podaci se ne popunjavaju). Ako za takvu dokumentaciju imate označeno sa "DA" (ona koja se ni u kom slučaju ne predaje) - kontrola će također javiti da je izvještaj neispravan. U slučaju da sa DA označite dokumentaciju koju niste dužni predati, ali možete (npr. Izvješće revizora, a prema vrsti obveznika i veličini ga niste obvezni predati), kontrola neće javiti pogrešku.</t>
        </r>
      </text>
    </comment>
    <comment ref="A54" authorId="1" shapeId="0">
      <text>
        <r>
          <rPr>
            <b/>
            <sz val="8"/>
            <color indexed="81"/>
            <rFont val="Tahoma"/>
            <charset val="238"/>
          </rPr>
          <t>Uputa:</t>
        </r>
        <r>
          <rPr>
            <sz val="8"/>
            <color indexed="81"/>
            <rFont val="Tahoma"/>
            <charset val="238"/>
          </rPr>
          <t xml:space="preserve">
Porijeklo kapitala može biti domaće, strano ili mješovito. U pripadajuće kućice unesite postotak domaćeg i postotak stranog kapitala, kao zaokruženu cjelobrojnu vrijednost - bez decimala </t>
        </r>
        <r>
          <rPr>
            <b/>
            <sz val="8"/>
            <color indexed="81"/>
            <rFont val="Tahoma"/>
            <family val="2"/>
            <charset val="238"/>
          </rPr>
          <t>i bez znaka postotka</t>
        </r>
        <r>
          <rPr>
            <sz val="8"/>
            <color indexed="81"/>
            <rFont val="Tahoma"/>
            <charset val="238"/>
          </rPr>
          <t>.  Zbroj oba postotka mora biti 100. Ako je porijeklo kaptala samo domaće ili samo strano, u pripadajuću kućicu upisuje se 100 a u drugu 0.</t>
        </r>
      </text>
    </comment>
    <comment ref="A55" authorId="1" shapeId="0">
      <text>
        <r>
          <rPr>
            <b/>
            <sz val="9"/>
            <color indexed="81"/>
            <rFont val="Tahoma"/>
            <charset val="1"/>
          </rPr>
          <t>Naputak:</t>
        </r>
        <r>
          <rPr>
            <sz val="9"/>
            <color indexed="81"/>
            <rFont val="Tahoma"/>
            <charset val="1"/>
          </rPr>
          <t xml:space="preserve">
Ovaj broj zaposlenih nije stanje na zadnji dan u godini već se zbrajaju stanja na datume: 1.1., 31.3., 30.6., 30.9., 31.12. i dijele se sa 5 da bi se dobio prosjek. Prosjek se zaokružuje na cijeli broj. Ako je poslovni subjekt poslovao samo dio godine, zbrajaju se stanja samo za ona razdoblja kada je subjekt poslovao i dijeli se s brojem takvih razdoblja.</t>
        </r>
      </text>
    </comment>
    <comment ref="A58" authorId="1" shapeId="0">
      <text>
        <r>
          <rPr>
            <b/>
            <sz val="9"/>
            <color indexed="81"/>
            <rFont val="Tahoma"/>
            <charset val="1"/>
          </rPr>
          <t>Naputak:</t>
        </r>
        <r>
          <rPr>
            <sz val="9"/>
            <color indexed="81"/>
            <rFont val="Tahoma"/>
            <charset val="1"/>
          </rPr>
          <t xml:space="preserve">
Broj zaposlenih prema satima rada računa se na način da se zbroje svi odrađeni sati svih zaposlenih u godini te se podijeli sa brojem sati koliko bi ostvario jedan zaposleni da je radio cijelu godinu puno radno vrijeme. Dobijeni rezultat zaokružuje se na cijeli broj.</t>
        </r>
      </text>
    </comment>
    <comment ref="A64" authorId="1" shapeId="0">
      <text>
        <r>
          <rPr>
            <b/>
            <sz val="8"/>
            <color indexed="81"/>
            <rFont val="Tahoma"/>
            <charset val="238"/>
          </rPr>
          <t>Uputa:</t>
        </r>
        <r>
          <rPr>
            <sz val="8"/>
            <color indexed="81"/>
            <rFont val="Tahoma"/>
            <charset val="238"/>
          </rPr>
          <t xml:space="preserve">
Upisuje se matični broj knjigovodstvenog servisa dodijeljen od Državnog zavoda za statistiku te naziv knjigovodstvenog servisa koji je sastavio izvještaj. Ako je izvještaj sastavljen unutar same tvrtke obveznika, polje matični broj i naziv servisa se NE popupavanju</t>
        </r>
      </text>
    </comment>
  </commentList>
</comments>
</file>

<file path=xl/sharedStrings.xml><?xml version="1.0" encoding="utf-8"?>
<sst xmlns="http://schemas.openxmlformats.org/spreadsheetml/2006/main" count="3788" uniqueCount="2996">
  <si>
    <t xml:space="preserve">     1. Rezerviranja za mirovine, otpremnine i slične obveze</t>
  </si>
  <si>
    <t xml:space="preserve">     2. Rezerviranja za porezne obveze</t>
  </si>
  <si>
    <t>9492</t>
  </si>
  <si>
    <t>Djelatnosti političkih organizacija</t>
  </si>
  <si>
    <t>9499</t>
  </si>
  <si>
    <t>9511</t>
  </si>
  <si>
    <t>2540</t>
  </si>
  <si>
    <t>Proizvodnja oružja i streljiva</t>
  </si>
  <si>
    <t>2550</t>
  </si>
  <si>
    <t>Trpanj</t>
  </si>
  <si>
    <t>Ervenik</t>
  </si>
  <si>
    <t>Trpinja</t>
  </si>
  <si>
    <t>Farkaševac</t>
  </si>
  <si>
    <t>Novigrad Podravski</t>
  </si>
  <si>
    <t>Tučepi</t>
  </si>
  <si>
    <t xml:space="preserve">     5. Ostali novčani izdaci od financijskih aktivnosti</t>
  </si>
  <si>
    <t>IMAGODIZV</t>
  </si>
  <si>
    <t>IMAODLRASP</t>
  </si>
  <si>
    <t>IMAODLUTVR</t>
  </si>
  <si>
    <t>Prethodna godina</t>
  </si>
  <si>
    <t>Tekuća godina</t>
  </si>
  <si>
    <t>3. Promjene u radnom kapitalu (AOP 013 do 016)</t>
  </si>
  <si>
    <t>Djelatnosti socijalne skrbi sa smješta...</t>
  </si>
  <si>
    <t>Proizvodnja sirovog željeza, čelika i ...</t>
  </si>
  <si>
    <t>Proizvodnja metalnih konstrukcija i nj...</t>
  </si>
  <si>
    <t>Proizvodnja radijatora i kotlova za ce...</t>
  </si>
  <si>
    <t>Proizvodnja ostalih metalnih cisterni,...</t>
  </si>
  <si>
    <t>Proizvodnja parnih kotlova, osim kotlo...</t>
  </si>
  <si>
    <t>Kovanje, prešanje, štancanje i valjanj...</t>
  </si>
  <si>
    <t>Proizvodnja čeličnih bačava i sličnih ...</t>
  </si>
  <si>
    <t>Proizvodnja proizvoda od žice, lanaca ...</t>
  </si>
  <si>
    <t>Proizvodnja ostalih gotovih proizvoda ...</t>
  </si>
  <si>
    <t>Proizvodnja elektroničkih uređaja za š...</t>
  </si>
  <si>
    <t>Proizvodnja instrumenata i aparata za ...</t>
  </si>
  <si>
    <t>Proizvodnja opreme za zračenje, elektr...</t>
  </si>
  <si>
    <t>Proizvodnja optičkih instrumenata i fo...</t>
  </si>
  <si>
    <t>Proizvodnja elektromotora, generatora ...</t>
  </si>
  <si>
    <t>Proizvodnja uređaja za distribuciju i ...</t>
  </si>
  <si>
    <t>Proizvodnja ostalih elektroničkih i el...</t>
  </si>
  <si>
    <t>Proizvodnja elektroinstalacijskog mate...</t>
  </si>
  <si>
    <t>Proizvodnja električne opreme za rasvj...</t>
  </si>
  <si>
    <t>Proizvodnja električnih aparata za kuć...</t>
  </si>
  <si>
    <t>Proizvodnja neelektričnih aparata za k...</t>
  </si>
  <si>
    <t>Proizvodnja motora i turbina, osim mot...</t>
  </si>
  <si>
    <t>Proizvodnja hidrauličnih pogonskih ure...</t>
  </si>
  <si>
    <t>Proizvodnja ležajeva, prijenosnika te ...</t>
  </si>
  <si>
    <t>Proizvodnja uređaja za dizanje i preno...</t>
  </si>
  <si>
    <t>Proizvodnja uredskih strojeva i opreme...</t>
  </si>
  <si>
    <t>Proizvodnja rashladne i ventilacijske ...</t>
  </si>
  <si>
    <t>Proizvodnja staklenih vlakana</t>
  </si>
  <si>
    <t>2319</t>
  </si>
  <si>
    <t>2320</t>
  </si>
  <si>
    <t>Proizvodnja vatrostalnih proizvoda</t>
  </si>
  <si>
    <t>Promjene po verzijama</t>
  </si>
  <si>
    <t>Prva verzija obrasca za 2016. godinu</t>
  </si>
  <si>
    <t>3.0.0.</t>
  </si>
  <si>
    <t>Naslovna</t>
  </si>
  <si>
    <t>Navigacija</t>
  </si>
  <si>
    <t>Kont</t>
  </si>
  <si>
    <t>RefStr</t>
  </si>
  <si>
    <t>http://www.fina.hr/Default.aspx?sec=915</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</si>
  <si>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</si>
  <si>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</si>
  <si>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</si>
  <si>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</si>
  <si>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</si>
  <si>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</si>
  <si>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</si>
  <si>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</si>
  <si>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</si>
  <si>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r>
      <t xml:space="preserve">A) NETO NOVČANI TOKOVI OD POSLOVNIH AKTIVNOSTI </t>
    </r>
    <r>
      <rPr>
        <sz val="9"/>
        <color indexed="18"/>
        <rFont val="Arial"/>
        <family val="2"/>
        <charset val="238"/>
      </rPr>
      <t>(AOP 017 do 019)</t>
    </r>
  </si>
  <si>
    <t>2. Usklađenja (AOP 003 do 010):</t>
  </si>
  <si>
    <t/>
  </si>
  <si>
    <t>25. Prihodi od prodaje u zemlji</t>
  </si>
  <si>
    <t>Petrinja</t>
  </si>
  <si>
    <t>Vodice</t>
  </si>
  <si>
    <t>Oglašavanje preko medija</t>
  </si>
  <si>
    <t>7320</t>
  </si>
  <si>
    <t>4722</t>
  </si>
  <si>
    <t>4723</t>
  </si>
  <si>
    <t>Osnovno obrazovanje</t>
  </si>
  <si>
    <t>8531</t>
  </si>
  <si>
    <t>Opće srednje obrazovanje</t>
  </si>
  <si>
    <t>8532</t>
  </si>
  <si>
    <t>Tehničko i strukovno srednje obrazovanje</t>
  </si>
  <si>
    <t>8541</t>
  </si>
  <si>
    <t>8542</t>
  </si>
  <si>
    <t xml:space="preserve">Visoko obrazovanje </t>
  </si>
  <si>
    <t>8551</t>
  </si>
  <si>
    <t>6201</t>
  </si>
  <si>
    <t>Računalno programiranje</t>
  </si>
  <si>
    <t>6202</t>
  </si>
  <si>
    <t>Savjetovanje u vezi s računalima</t>
  </si>
  <si>
    <t>6203</t>
  </si>
  <si>
    <t>6209</t>
  </si>
  <si>
    <t>6311</t>
  </si>
  <si>
    <t>4789</t>
  </si>
  <si>
    <t>4791</t>
  </si>
  <si>
    <t>4799</t>
  </si>
  <si>
    <t>4910</t>
  </si>
  <si>
    <t>4920</t>
  </si>
  <si>
    <t>Garešnica</t>
  </si>
  <si>
    <t>Omiš</t>
  </si>
  <si>
    <t>Vela Luka</t>
  </si>
  <si>
    <t>Generalski Stol</t>
  </si>
  <si>
    <t>Omišalj</t>
  </si>
  <si>
    <t>Samo neaktivni poduzetnik može imati nepopunjen RDG i PodDop za kolonu prethodne ili tekuće godine, a istovremeno imati broj mjeseci poslovanja veći od nule u istoj toj koloni. Aktivni poduzetnik mora imati podatke u svakoj koloni u kojoj je broj mjeseci poslovanja veći od nule. Ako obveznik ima podatke u RDG-u i/ili Dodatnim podacima, ne može biti poslovno neaktivan.</t>
  </si>
  <si>
    <t>Pogreška u ovoj kontroli signalizira da je obveznik uz izvještaj obvezan predati i revizorsko izvješće jer je obveznik revizije. Kontrola upozorava ako je označeno da je poduzetnik podnio revizorsko izvješće a nije obveznik što je dopušteno iz razloga što može biti obveznik iz nekih razloga koji se ne odnose na ovaj izvještaj (npr. obveznik od državnog interesa). Revizorsko izvješće obavezno je uz vrste izvještaja 10 i 11.</t>
  </si>
  <si>
    <t>Pogreška signalizira da Šifra svrhe predaje nije popunjena ili je pogrešno popunjena. Kontrola također javlja grešku ako je odabrana javna objava za vrstu subjekta koji ne može imati javnu objavu. U tom slučaju ispravite svrhu ili ispravite vrstu subjekta.</t>
  </si>
  <si>
    <t>Proizvodnja ostalih kemijskih proizvod...</t>
  </si>
  <si>
    <t>Proizvodnja osnovnih farmaceutskih pro...</t>
  </si>
  <si>
    <t>Proizvodnja vanjskih i unutrašnjih gum...</t>
  </si>
  <si>
    <t>Proizvodnja ploča, listova, cijevi i p...</t>
  </si>
  <si>
    <t>Proizvodnja proizvoda od plastike za g...</t>
  </si>
  <si>
    <t>Proizvodnja ostalih proizvoda od plast...</t>
  </si>
  <si>
    <t>Proizvodnja i obrada ostalog stakla uk...</t>
  </si>
  <si>
    <t>Proizvodnja opeke, crijepa i ostalih p...</t>
  </si>
  <si>
    <t>Proizvodnja keramičkih proizvoda za ku...</t>
  </si>
  <si>
    <t>Proizvodnja keramičkih izolatora i izo...</t>
  </si>
  <si>
    <t>Proizvodnja ostalih tehničkih proizvod...</t>
  </si>
  <si>
    <t>Proizvodnja ostalih proizvoda od keram...</t>
  </si>
  <si>
    <t>Proizvodnja proizvoda od betona za gra...</t>
  </si>
  <si>
    <t>Proizvodnja proizvoda od gipsa za građ...</t>
  </si>
  <si>
    <t>Proizvodnja ostalih proizvoda od beton...</t>
  </si>
  <si>
    <t>Proizvodnja ostalih nemetalnih mineral...</t>
  </si>
  <si>
    <t>Bukovlje</t>
  </si>
  <si>
    <t>Lepoglava</t>
  </si>
  <si>
    <t>Slunj</t>
  </si>
  <si>
    <t>Buzet</t>
  </si>
  <si>
    <t>Levanjska Varoš</t>
  </si>
  <si>
    <t>Cjevovodni transport</t>
  </si>
  <si>
    <t>5010</t>
  </si>
  <si>
    <t>Pomorski i obalni prijevoz putnika</t>
  </si>
  <si>
    <t>5020</t>
  </si>
  <si>
    <t>Pomorski i obalni prijevoz robe</t>
  </si>
  <si>
    <t>5030</t>
  </si>
  <si>
    <t>5040</t>
  </si>
  <si>
    <t>0129</t>
  </si>
  <si>
    <t xml:space="preserve">Uzgoj ostalih višegodišnjih usjeva </t>
  </si>
  <si>
    <t>0130</t>
  </si>
  <si>
    <t>Uzgoj sadnog materijala i ukrasnog bilja</t>
  </si>
  <si>
    <t>0141</t>
  </si>
  <si>
    <t>Uzgoj muznih krava</t>
  </si>
  <si>
    <t>DODATAK IZVJEŠTAJU O PROMJENAMA KAPITALA (popunjava poduzetnik obveznik primjene MSFI-a)</t>
  </si>
  <si>
    <t>Izvještaj kojeg sastavlja obveznik za razdoblje od početka godine do dana koji prethodi danu otvaranja stečajnog postupka.</t>
  </si>
  <si>
    <t>Izvještaj kojeg sastavlja obveznik za razdoblje od početka godine do dana koji prethodi danu otvaranja likvidacijskog postupka.</t>
  </si>
  <si>
    <t>Izvještaj kojeg sastavlja  obveznika koji zbog statusnih promjena gubi pravnu osobnost.</t>
  </si>
  <si>
    <t xml:space="preserve">   8. Ostali poslovni rashodi</t>
  </si>
  <si>
    <t>9603</t>
  </si>
  <si>
    <t>Pogrebne i srodne djelatnosti</t>
  </si>
  <si>
    <t>9604</t>
  </si>
  <si>
    <t>Djelatnosti za njegu i održavanje tijela</t>
  </si>
  <si>
    <t>9609</t>
  </si>
  <si>
    <t>Ostale osobne uslužne djelatnosti, d. n.</t>
  </si>
  <si>
    <t>9700</t>
  </si>
  <si>
    <t>9810</t>
  </si>
  <si>
    <t>9820</t>
  </si>
  <si>
    <t>9900</t>
  </si>
  <si>
    <t>Izvještaj o promjenama kapitala</t>
  </si>
  <si>
    <t xml:space="preserve">     2. Potraživanja od društava povezanih sudjelujućim interesom </t>
  </si>
  <si>
    <t xml:space="preserve">     4. Ostala potraživanja</t>
  </si>
  <si>
    <t xml:space="preserve">     9. Ostala financijska imovina</t>
  </si>
  <si>
    <t xml:space="preserve">   14. Ostale kratkoročne obveze</t>
  </si>
  <si>
    <t>Proizvodnja ambalaže od drva</t>
  </si>
  <si>
    <t>1629</t>
  </si>
  <si>
    <t>1711</t>
  </si>
  <si>
    <t>8292</t>
  </si>
  <si>
    <t>Djelatnosti pakiranja</t>
  </si>
  <si>
    <t>8299</t>
  </si>
  <si>
    <t>8411</t>
  </si>
  <si>
    <t>Opće djelatnosti javne uprave</t>
  </si>
  <si>
    <t>8412</t>
  </si>
  <si>
    <t>2680</t>
  </si>
  <si>
    <t>Proizvodnja magnetskih i optičkih medija</t>
  </si>
  <si>
    <t>Popravak električne opreme</t>
  </si>
  <si>
    <t>3315</t>
  </si>
  <si>
    <t>Popravak i održavanje brodova i čamaca</t>
  </si>
  <si>
    <t>3316</t>
  </si>
  <si>
    <t>3317</t>
  </si>
  <si>
    <t>3319</t>
  </si>
  <si>
    <t>7731</t>
  </si>
  <si>
    <t>7732</t>
  </si>
  <si>
    <t>2660</t>
  </si>
  <si>
    <t>2670</t>
  </si>
  <si>
    <t>Konjščina</t>
  </si>
  <si>
    <t>Ražanac</t>
  </si>
  <si>
    <t>Belišće</t>
  </si>
  <si>
    <t>2331</t>
  </si>
  <si>
    <t>4618</t>
  </si>
  <si>
    <t>4619</t>
  </si>
  <si>
    <t>4621</t>
  </si>
  <si>
    <t>4622</t>
  </si>
  <si>
    <t>Tkon</t>
  </si>
  <si>
    <t>Dugo Selo</t>
  </si>
  <si>
    <t>Nijemci</t>
  </si>
  <si>
    <t>Tompojevci</t>
  </si>
  <si>
    <t>Dugopolje</t>
  </si>
  <si>
    <t>Nin</t>
  </si>
  <si>
    <t>Primjena računovodstvenih standarda:</t>
  </si>
  <si>
    <t>(završni dan razdoblja je ujedno i datum stanja u Bilanci)</t>
  </si>
  <si>
    <t>PRIHOD_NULA</t>
  </si>
  <si>
    <t>61. Bruto investicije u prijevozna sredstva</t>
  </si>
  <si>
    <t>63. Nabava zemljišta ukupno (građevinskog i negrađevinskog)</t>
  </si>
  <si>
    <t>64. Bruto investicije samo u novu dugotrajnu imovinu</t>
  </si>
  <si>
    <t>62. Bruto investicije u ostalu materijalnu imovinu i nematerijalnu imovinu
       (biološka imovina, investicije u istraživanje i razvoj, softver, baze podataka 
       i druga nematerijalna imovina)</t>
  </si>
  <si>
    <t>66. Bruto investicije u dugotrajnu materijalnu i nematerijalnu imovinu,
       stečenu od poduzetnika unutar grupe, rezidenata RH</t>
  </si>
  <si>
    <t>67. Broj neplaćenih osoba (neplaćeni obiteljski radnici, vlasnici bez ugovora 
       o radu, volonteri, privremeno odsutne osobe kojima naknadu ne osigurava
       poslodavac i drugi prema uputama)</t>
  </si>
  <si>
    <t>Novčani tokovi od poslovnih aktivnosti</t>
  </si>
  <si>
    <t>1. Dobit prije oporezivanja</t>
  </si>
  <si>
    <r>
      <t xml:space="preserve">C) NETO NOVČANI TOKOVI OD FINANCIJSKIH AKTIVNOSTI </t>
    </r>
    <r>
      <rPr>
        <sz val="9"/>
        <color indexed="18"/>
        <rFont val="Arial"/>
        <family val="2"/>
        <charset val="238"/>
      </rPr>
      <t>(AOP 039+045)</t>
    </r>
  </si>
  <si>
    <t>Broj pogrešaka:</t>
  </si>
  <si>
    <t>Broj upozorenja:</t>
  </si>
  <si>
    <t>GR</t>
  </si>
  <si>
    <t>UPO</t>
  </si>
  <si>
    <t>Petrovsko</t>
  </si>
  <si>
    <t>Vodnjan</t>
  </si>
  <si>
    <t>Hrvatska Kostajnica</t>
  </si>
  <si>
    <t>Pićan</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</si>
  <si>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</si>
  <si>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</si>
  <si>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</si>
  <si>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</si>
  <si>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</si>
  <si>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</si>
  <si>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</si>
  <si>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</si>
  <si>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</si>
  <si>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</si>
  <si>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</si>
  <si>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</si>
  <si>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</si>
  <si>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</si>
  <si>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</si>
  <si>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</si>
  <si>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</si>
  <si>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</si>
  <si>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</si>
  <si>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</si>
  <si>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</si>
  <si>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</si>
  <si>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</si>
  <si>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</si>
  <si>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</si>
  <si>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</si>
  <si>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</si>
  <si>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</si>
  <si>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</si>
  <si>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</si>
  <si>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</si>
  <si>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</si>
  <si>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</si>
  <si>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</si>
  <si>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</si>
  <si>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</si>
  <si>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</si>
  <si>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</si>
  <si>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</si>
  <si>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</si>
  <si>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</si>
  <si>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</si>
  <si>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</si>
  <si>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</si>
  <si>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</si>
  <si>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Predaja samo u statističke svrhe</t>
  </si>
  <si>
    <t>Predaja samo u svrhu javne objave</t>
  </si>
  <si>
    <t>Predaja i za statističke svrhe i za javnu objavu</t>
  </si>
  <si>
    <t>4726</t>
  </si>
  <si>
    <t>4729</t>
  </si>
  <si>
    <t>4730</t>
  </si>
  <si>
    <t>4741</t>
  </si>
  <si>
    <t>4742</t>
  </si>
  <si>
    <t>4743</t>
  </si>
  <si>
    <t>4751</t>
  </si>
  <si>
    <t>9523</t>
  </si>
  <si>
    <t>Popravak obuće i proizvoda od kože</t>
  </si>
  <si>
    <t>9524</t>
  </si>
  <si>
    <t>Popravak namještaja i pokućstva</t>
  </si>
  <si>
    <t>9525</t>
  </si>
  <si>
    <t>Popravak satova i nakita</t>
  </si>
  <si>
    <t>9529</t>
  </si>
  <si>
    <t>9601</t>
  </si>
  <si>
    <t>1520</t>
  </si>
  <si>
    <t>Proizvodnja obuće</t>
  </si>
  <si>
    <t>1610</t>
  </si>
  <si>
    <t>4634</t>
  </si>
  <si>
    <t>Trgovina na veliko pićima</t>
  </si>
  <si>
    <t>4635</t>
  </si>
  <si>
    <t>Trgovina na veliko duhanskim proizvodima</t>
  </si>
  <si>
    <t>4636</t>
  </si>
  <si>
    <t>4637</t>
  </si>
  <si>
    <t>4638</t>
  </si>
  <si>
    <t>4639</t>
  </si>
  <si>
    <t>2594</t>
  </si>
  <si>
    <t>Proizvodnja zakovica i vijčane robe</t>
  </si>
  <si>
    <t>2599</t>
  </si>
  <si>
    <t>2611</t>
  </si>
  <si>
    <t xml:space="preserve">Proizvodnja elektroničkih komponenata </t>
  </si>
  <si>
    <t>2612</t>
  </si>
  <si>
    <t>Proizvodnja punih elektroničkih ploča</t>
  </si>
  <si>
    <t>2620</t>
  </si>
  <si>
    <t>Proizvodnja računala i periferne opreme</t>
  </si>
  <si>
    <t>2630</t>
  </si>
  <si>
    <t>4725</t>
  </si>
  <si>
    <t>Ulica i kućni broj:</t>
  </si>
  <si>
    <t>Trgovina na malo glazbenim i videozapi...</t>
  </si>
  <si>
    <t>Trgovina na malo sportskom opremom u s...</t>
  </si>
  <si>
    <t>Trgovina na malo igrama i igračkama u ...</t>
  </si>
  <si>
    <t>Pogreška signalizira da OIB nije upisan ili je pogrešna duljina OIB-a.</t>
  </si>
  <si>
    <t>Kontrole dodatnih podataka</t>
  </si>
  <si>
    <t>Ostali obveznici poreza na dobit</t>
  </si>
  <si>
    <t>Gradnja vodova za električnu struju i ...</t>
  </si>
  <si>
    <t>Gradnja ostalih građevina niskogradnje...</t>
  </si>
  <si>
    <t>Pokusno bušenje i sondiranje terena za...</t>
  </si>
  <si>
    <t>Uvođenje instalacija vodovoda, kanaliz...</t>
  </si>
  <si>
    <t>Ostale specijalizirane građevinske dje...</t>
  </si>
  <si>
    <t>- da li je MSFI</t>
  </si>
  <si>
    <t>Stari Mikanovci</t>
  </si>
  <si>
    <t>Čabar</t>
  </si>
  <si>
    <t>4724</t>
  </si>
  <si>
    <t>BILANCA</t>
  </si>
  <si>
    <t>RAČUN DOBITI I GUBITKA</t>
  </si>
  <si>
    <t>Prerada i konzerviranje mesa</t>
  </si>
  <si>
    <t>1012</t>
  </si>
  <si>
    <t>Prerada i konzerviranje mesa peradi</t>
  </si>
  <si>
    <t>1013</t>
  </si>
  <si>
    <t>1020</t>
  </si>
  <si>
    <t>1031</t>
  </si>
  <si>
    <t>Prerada i konzerviranje krumpira</t>
  </si>
  <si>
    <t>1032</t>
  </si>
  <si>
    <t>Niti jedan iznos ne smije biti upisan s lipama. Kod ručnog unosa Excel datoteka tu mogućnost ne dozvoljava, ali kod programskog punjena Excel datoteke moguće je "ugurati" i lipe. Isto tako ko Copy/Paste (kopiraj/zalijepi) metode moguće je prebaciti podatke s lipama (nezaokružene iznose). Iako se podaci prikazuju kao zaokružene vrijednosti one to nisu i takav obrazac je neispravan i ne može biti učitan. Ako podatke kopirate iz nekog drugog Excel-a, obavezno ih prije kopiranja zaokružite da budu bez decimala.</t>
  </si>
  <si>
    <t>Samo vrste izvještaja 10, 11, 20 i 30 mogu biti konsolidirane. Kontrola javlja pogrešku ako je označeno da je neka druga vrsta izvještaja konsolidirana. Konsolidirani izvještaj može se predati samo za javnu objavu.</t>
  </si>
  <si>
    <t>Ostala prerada i konzerviranje voća i ...</t>
  </si>
  <si>
    <t>Proizvodnja margarina i sličnih jestiv...</t>
  </si>
  <si>
    <t>Proizvodnja kruha; proizvodnja svježih...</t>
  </si>
  <si>
    <t>Proizvodnja dvopeka, keksa i srodnih p...</t>
  </si>
  <si>
    <t>Proizvodnja makarona, njoka, kuskusa i...</t>
  </si>
  <si>
    <t>Proizvodnja kakao, čokoladnih i bombon...</t>
  </si>
  <si>
    <t>Proizvodnja začina i drugih dodataka h...</t>
  </si>
  <si>
    <t>Proizvodnja homogeniziranih prehramben...</t>
  </si>
  <si>
    <t>Proizvodnja ostalih prehrambenih proiz...</t>
  </si>
  <si>
    <t>Proizvodnja pripremljene hrane za kućn...</t>
  </si>
  <si>
    <t>Pogreška signalizira da polje Obveznost predaje nefinancijskog izvješća nije popunjena ili je pogrešno popunjena. Obveznost predaje nefinancijskog izvješća različitu od 1 mogu imati samo trgovačka društva pod uvjetom da su veliki, da imaju više od 500 zaposlenih u koloni prethodne godine i da spadaju u grupu od posebnog državnog interesa. Ako obveznik koji nije trgovačko društvo ili obveznik koji nije veliki i nema 500 zaposlenih označi nešto drugo osim 1, kontrola javlja pogrešku. Kontrola će također javiti i upozorenje ako je obveznik veliki, ima više od 500 zaposlenih, a nije označio da je obveznik predaje nefinancijskog izvješća.</t>
  </si>
  <si>
    <t>Pozicije izvanbilančni zapisi u aktivi (AOP 066) moraju biti jednaki izvanbilančnim zapisima u pasivi (AOP 126) u obje kolone podataka - tekuća godina i prethodna godina. Zbog zaokruživanja iznosa, kontrola dozvoljava razliku od 1.</t>
  </si>
  <si>
    <t xml:space="preserve">     5. Tečajne razlike iz preračuna inozemnog poslovanja
          (konsolidacija)</t>
  </si>
  <si>
    <t xml:space="preserve">     1. Fer vrijednost financijske imovine kroz ostalu sveobuhvatnu
         dobit (odnosno raspoložive za prodaju)</t>
  </si>
  <si>
    <t xml:space="preserve">     3. Prihodi od ostalih dugotrajnih financijskih ulaganja i zajmova
         poduzetnicima unutar grupe</t>
  </si>
  <si>
    <t xml:space="preserve">     1. Prihodi od ulaganja u udjele (dionice) poduzetnika unutar grupe</t>
  </si>
  <si>
    <t xml:space="preserve">    1. Prihodi od prodaje s poduzetnicima unutar grupe</t>
  </si>
  <si>
    <t xml:space="preserve">     2. Dobitak ili gubitak s osnove naknadnog vrednovanja dužničkih vrijednosnih
         papira po fer vrijednosti kroz ostalu sveobuhvatnu dobit</t>
  </si>
  <si>
    <t xml:space="preserve">     3. Dobit ili gubitak s osnove učinkovite zaštite novčanih tokova</t>
  </si>
  <si>
    <t xml:space="preserve">     4. Dobit ili gubitak s osnove učinkovite zaštite neto ulaganja u inozemstvu</t>
  </si>
  <si>
    <t xml:space="preserve">     5. Udio u ostaloj sveobuhvatnoj dobiti/gubitku društava povezanih
         sudjelujućim  interesom</t>
  </si>
  <si>
    <t xml:space="preserve">     6. Promjene fer vrijednosti vremenske vrijednosti opcije</t>
  </si>
  <si>
    <t xml:space="preserve">     7. Promjene fer vrijednosti terminskih elemenata terminskih ugovora</t>
  </si>
  <si>
    <t xml:space="preserve">     8. Ostale stavke koje je moguće reklasificirati u dobit ili gubitak</t>
  </si>
  <si>
    <t xml:space="preserve">     9. Porez na dobit koji se odnosi na stavke koje je moguće reklasificirati
         u dobit ili gubitak</t>
  </si>
  <si>
    <r>
      <t xml:space="preserve"> V. Neto ostala sveobuhvatna dobit ili gubitak </t>
    </r>
    <r>
      <rPr>
        <sz val="9"/>
        <rFont val="Arial"/>
        <family val="2"/>
        <charset val="238"/>
      </rPr>
      <t>(AOP 206+213)</t>
    </r>
  </si>
  <si>
    <r>
      <t xml:space="preserve">VI. Sveobuhvatna dobit ili gubitak razdoblja </t>
    </r>
    <r>
      <rPr>
        <sz val="9"/>
        <color indexed="18"/>
        <rFont val="Arial"/>
        <family val="2"/>
        <charset val="238"/>
      </rPr>
      <t>(AOP 226+227)</t>
    </r>
  </si>
  <si>
    <r>
      <t>VI. Ukupna sveobuhvatna dobit ili gubitak razdoblja</t>
    </r>
    <r>
      <rPr>
        <sz val="9"/>
        <rFont val="Arial"/>
        <family val="2"/>
        <charset val="238"/>
      </rPr>
      <t xml:space="preserve"> (AOP 204+223)</t>
    </r>
  </si>
  <si>
    <r>
      <t xml:space="preserve">  II. Ostala sveobuhvatna dobit / gubitak prije poreza
      </t>
    </r>
    <r>
      <rPr>
        <sz val="9"/>
        <rFont val="Arial"/>
        <family val="2"/>
        <charset val="238"/>
      </rPr>
      <t>(AOP 207 do 211 + 214 do 221)</t>
    </r>
  </si>
  <si>
    <r>
      <t xml:space="preserve">F) UKUPNO – PASIVA </t>
    </r>
    <r>
      <rPr>
        <sz val="9"/>
        <color indexed="62"/>
        <rFont val="Arial"/>
        <family val="2"/>
        <charset val="238"/>
      </rPr>
      <t>(AOP 067+090+097+109+124)</t>
    </r>
  </si>
  <si>
    <t>58. Bruto investicije u dugotrajnu materijalnu i nematerijalnu imovinu - ukupno
       (AOP 289 do 292)</t>
  </si>
  <si>
    <t>4.0.0.</t>
  </si>
  <si>
    <t>Nova izmijenjena verzija obrasca za 2021. godinu</t>
  </si>
  <si>
    <t>4020</t>
  </si>
  <si>
    <t>Ispravljene formule na obrascu Promjene kapitala od stupca s oznakom 4 do 9 - formula nije uključivala oznaku primjene računovodstvenog standarda kod popunjavanja podataka u dodatku o Sveobuhvatnoj dobiti i u podacima za prethodnu i u podacima za tekuću godinu. U kontroli 34 ukinuo je pravilo da zadržana dobit i preneseni gubitak ne mogu biti popunjeni istovremeno.</t>
  </si>
  <si>
    <t>Popravak elektroničkih uređaja za širo...</t>
  </si>
  <si>
    <t>Popravak aparata za kućanstvo te oprem...</t>
  </si>
  <si>
    <t>Popravak ostalih predmeta za osobnu up...</t>
  </si>
  <si>
    <t>Pranje i kemijsko čišćenje tekstila i ...</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</si>
  <si>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</si>
  <si>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</si>
  <si>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</si>
  <si>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</si>
  <si>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</si>
  <si>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</si>
  <si>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</si>
  <si>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</si>
  <si>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</si>
  <si>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</si>
  <si>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</si>
  <si>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</si>
  <si>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</si>
  <si>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</si>
  <si>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</si>
  <si>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</si>
  <si>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</si>
  <si>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Djelatnosti mljekara i proizvođača sira</t>
  </si>
  <si>
    <t>1052</t>
  </si>
  <si>
    <t>Proizvodnja sladoleda</t>
  </si>
  <si>
    <t>1061</t>
  </si>
  <si>
    <t>Proizvodnja mlinskih proizvoda</t>
  </si>
  <si>
    <t>1062</t>
  </si>
  <si>
    <t>KTR_BROJ</t>
  </si>
  <si>
    <t>1102</t>
  </si>
  <si>
    <t>Proizvodnja vina od grožđa</t>
  </si>
  <si>
    <t>1103</t>
  </si>
  <si>
    <t>1104</t>
  </si>
  <si>
    <t>1105</t>
  </si>
  <si>
    <t>Proizvodnja piva</t>
  </si>
  <si>
    <t>1106</t>
  </si>
  <si>
    <t>Proizvodnja slada</t>
  </si>
  <si>
    <t>1107</t>
  </si>
  <si>
    <t>1200</t>
  </si>
  <si>
    <t>9602</t>
  </si>
  <si>
    <t xml:space="preserve">    4. Alati, pogonski inventar i transportna imovina</t>
  </si>
  <si>
    <t xml:space="preserve">    5. Biološka imovina</t>
  </si>
  <si>
    <t>Prethodna godina
(neto)</t>
  </si>
  <si>
    <t>Tekuća godina
(neto)</t>
  </si>
  <si>
    <t>Mikleuš</t>
  </si>
  <si>
    <t>Šandrovac</t>
  </si>
  <si>
    <t>Donji Vidovec</t>
  </si>
  <si>
    <t>Milna</t>
  </si>
  <si>
    <t>Šenkovec</t>
  </si>
  <si>
    <t>Dragalić</t>
  </si>
  <si>
    <t>Mljet</t>
  </si>
  <si>
    <t>Šestanovac</t>
  </si>
  <si>
    <t>Draganić</t>
  </si>
  <si>
    <t>Molve</t>
  </si>
  <si>
    <t>Šibenik</t>
  </si>
  <si>
    <t>Draž</t>
  </si>
  <si>
    <t>Mošćenička Draga</t>
  </si>
  <si>
    <t>Drenovci</t>
  </si>
  <si>
    <t>Motovun</t>
  </si>
  <si>
    <t>Šodolovci</t>
  </si>
  <si>
    <t>Drenje</t>
  </si>
  <si>
    <t>Mrkopalj</t>
  </si>
  <si>
    <t>4771</t>
  </si>
  <si>
    <t>4772</t>
  </si>
  <si>
    <t>4773</t>
  </si>
  <si>
    <t xml:space="preserve">Ljekarne </t>
  </si>
  <si>
    <t>4774</t>
  </si>
  <si>
    <t>2824</t>
  </si>
  <si>
    <t>Proizvodnja mehaniziranoga ručnog alata</t>
  </si>
  <si>
    <t>2825</t>
  </si>
  <si>
    <t>2829</t>
  </si>
  <si>
    <t>2830</t>
  </si>
  <si>
    <t>Žumberak</t>
  </si>
  <si>
    <t>Kaštela</t>
  </si>
  <si>
    <t>Primorski Dolac</t>
  </si>
  <si>
    <t>Župa Dubrovačka</t>
  </si>
  <si>
    <t>SERVIS_MB</t>
  </si>
  <si>
    <t>SERVIS_NZ</t>
  </si>
  <si>
    <t>0115</t>
  </si>
  <si>
    <t>Uzgoj duhana</t>
  </si>
  <si>
    <t>0116</t>
  </si>
  <si>
    <t xml:space="preserve">Uzgoj predivog bilja </t>
  </si>
  <si>
    <t>0119</t>
  </si>
  <si>
    <t xml:space="preserve">Uzgoj ostalih jednogodišnjih usjeva </t>
  </si>
  <si>
    <t>0121</t>
  </si>
  <si>
    <t xml:space="preserve">Uzgoj grožđa </t>
  </si>
  <si>
    <t>0122</t>
  </si>
  <si>
    <t>Uzgoj tropskog i suptropskog voća</t>
  </si>
  <si>
    <t>0123</t>
  </si>
  <si>
    <t>Uzgoj agruma</t>
  </si>
  <si>
    <t>0124</t>
  </si>
  <si>
    <t>Uzgoj jezgričavog i koštuničavog voća</t>
  </si>
  <si>
    <t>0125</t>
  </si>
  <si>
    <t>Trgovina na veliko cvijećem i sadnicama</t>
  </si>
  <si>
    <t>4623</t>
  </si>
  <si>
    <t>Trgovina na veliko živom stokom</t>
  </si>
  <si>
    <t>4624</t>
  </si>
  <si>
    <t>4631</t>
  </si>
  <si>
    <t>Trgovina na veliko voćem i povrćem</t>
  </si>
  <si>
    <t>4632</t>
  </si>
  <si>
    <t>4633</t>
  </si>
  <si>
    <t>3040</t>
  </si>
  <si>
    <t>Proizvodnja vojnih borbenih vozila</t>
  </si>
  <si>
    <t>3091</t>
  </si>
  <si>
    <t>Proizvodnja motocikala</t>
  </si>
  <si>
    <t>3092</t>
  </si>
  <si>
    <t>5110</t>
  </si>
  <si>
    <t>Zračni prijevoz putnika</t>
  </si>
  <si>
    <t>5121</t>
  </si>
  <si>
    <t>Zračni prijevoz robe</t>
  </si>
  <si>
    <t>5122</t>
  </si>
  <si>
    <t>Svemirski prijevoz</t>
  </si>
  <si>
    <t>5210</t>
  </si>
  <si>
    <t>Skladištenje robe</t>
  </si>
  <si>
    <t>5221</t>
  </si>
  <si>
    <t>5222</t>
  </si>
  <si>
    <t>5223</t>
  </si>
  <si>
    <t>5224</t>
  </si>
  <si>
    <t>Prekrcaj tereta</t>
  </si>
  <si>
    <t>5229</t>
  </si>
  <si>
    <t>23. Povećanje rezervi u postupku predstečajne nagodbe</t>
  </si>
  <si>
    <t>21.  Ostale raspodjele i isplate članovima/dioničarima</t>
  </si>
  <si>
    <t>22. Prijenos po godišnjem rasporedu</t>
  </si>
  <si>
    <t>24. Stanje na zadnji dan prethodnog razdoblja (AOP 04 do 23)</t>
  </si>
  <si>
    <t xml:space="preserve">   I. OSTALA SVEOBUHVATNA DOBIT PRETHODNOG 
      RAZDOBLJA, UMANJENO ZA POREZE (AOP 06 do 14)</t>
  </si>
  <si>
    <t xml:space="preserve">  II. SVEOBUHVATNA DOBIT ILI GUBITAK PRETHODNOG
      RAZDOBLJA (AOP 05+25)</t>
  </si>
  <si>
    <t xml:space="preserve">20. Isplata udjela u dobiti/dividende  </t>
  </si>
  <si>
    <t>21. Ostale raspodjele i isplate članovima/dioničarima</t>
  </si>
  <si>
    <t>22. Prijenosi po godišnjem rasporedu</t>
  </si>
  <si>
    <t>24. Stanje na zadnji dan tekućeg razdoblja (AOP 32 do 50)</t>
  </si>
  <si>
    <t xml:space="preserve">   I. OSTALA SVEOBUHVATNA DOBIT TEKUĆEG 
      RAZDOBLJA, UMANJENO ZA POREZE (AOP 33 do 41)</t>
  </si>
  <si>
    <t xml:space="preserve">  II. SVEOBUHVATNA DOBIT ILI GUBITAK TEKUĆEG
      RAZDOBLJA (AOP 32 + 52)</t>
  </si>
  <si>
    <t>III. TRANSAKCIJE S VLASNICIMA TEKUĆEG RAZDOBLJA 
      PRIZNATE DIREKTNO U KAPITALU (AOP 42 do 50)</t>
  </si>
  <si>
    <t xml:space="preserve">  1.  Stanje na prvi dan prethodnog razdoblja</t>
  </si>
  <si>
    <t xml:space="preserve">  2. Promjene računovodstvenih politika</t>
  </si>
  <si>
    <t xml:space="preserve">  3. Ispravak pogreški</t>
  </si>
  <si>
    <t xml:space="preserve">  4. Stanje na prvi dan prethodnog razdoblja (AOP 01 do 03) </t>
  </si>
  <si>
    <t xml:space="preserve">  5. Dobit/gubitak razdoblja</t>
  </si>
  <si>
    <t xml:space="preserve">  6. Tečajne razlike iz preračuna inozemnog poslovanja</t>
  </si>
  <si>
    <t>Ovisno društvo (nema kontrolu nad drugim društvima), sa maticom izvan RH</t>
  </si>
  <si>
    <t xml:space="preserve">Matično društvo, i samo pod kontrolom nadređenog društva iz RH </t>
  </si>
  <si>
    <t>Matično društvo, i samo pod kontrolom nadređenog društva izvan RH</t>
  </si>
  <si>
    <t xml:space="preserve">Krajnje matično društvo u grupi (nema nadređeno društvo) </t>
  </si>
  <si>
    <t>10. Dobitak ili gubitak s osnove učinkovite zaštite neto ulaganja
      u inozemstvu</t>
  </si>
  <si>
    <t>IZNOS16</t>
  </si>
  <si>
    <t>Britanski Indijskooceanski Teritorij</t>
  </si>
  <si>
    <t>Solomonski Otoci</t>
  </si>
  <si>
    <t>Britanski Djevičanski Otoci</t>
  </si>
  <si>
    <t>Kosovo</t>
  </si>
  <si>
    <t>Brunej</t>
  </si>
  <si>
    <t>Bugarska</t>
  </si>
  <si>
    <t>Mijanmar</t>
  </si>
  <si>
    <t>Burundi</t>
  </si>
  <si>
    <t>Bjelorusija</t>
  </si>
  <si>
    <t>Kambodža</t>
  </si>
  <si>
    <t>Kamerun</t>
  </si>
  <si>
    <t>Kanada</t>
  </si>
  <si>
    <t>Zelenortska Republika</t>
  </si>
  <si>
    <t>Kajmanski Otoci</t>
  </si>
  <si>
    <t>Djelatnosti agencija za privremeno zap...</t>
  </si>
  <si>
    <t>Djelatnosti organizatora putovanja (tu...</t>
  </si>
  <si>
    <t>Ostale rezervacijske usluge i djelatno...</t>
  </si>
  <si>
    <t>Usluge zaštite uz pomoć sigurnosnih su...</t>
  </si>
  <si>
    <t>Ostale djelatnosti čišćenja zgrada i o...</t>
  </si>
  <si>
    <t>Uslužne djelatnosti uređenja i održava...</t>
  </si>
  <si>
    <t>Kombinirane uredske administrativne us...</t>
  </si>
  <si>
    <t>Fotokopiranje, priprema dokumenata i o...</t>
  </si>
  <si>
    <t>Organizacija sastanaka i poslovnih saj...</t>
  </si>
  <si>
    <t>Djelatnosti agencija za prikupljanje i...</t>
  </si>
  <si>
    <t>Ostale poslovne pomoćne uslužne djelat...</t>
  </si>
  <si>
    <t>Pogreška signalizira da nije popunjen ili je pogrešno popunjen podataka o osobi za kontaktiranje, telefonu, adresa e-pošte. Kod adrese e-pošte osobe za kontakt provjerava se ispravnost adrese (ne smije imati razmake, slova čžšđ, specijalne znakove itd.)</t>
  </si>
  <si>
    <t>Trgovina na veliko žitaricama, sirovim...</t>
  </si>
  <si>
    <t>Trgovina na veliko sirovim i štavljeni...</t>
  </si>
  <si>
    <t>Trgovina na veliko mesom i mesnim proi...</t>
  </si>
  <si>
    <t>Trgovina na veliko mlijekom, mliječnim...</t>
  </si>
  <si>
    <t>Trgovina na veliko šećerom, čokoladom ...</t>
  </si>
  <si>
    <t>Trgovina na veliko kavom, čajem, kakao...</t>
  </si>
  <si>
    <t>Trgovina na veliko ostalom hranom uklj...</t>
  </si>
  <si>
    <t>Nespecijalizirana trgovina na veliko h...</t>
  </si>
  <si>
    <t>Trgovina na veliko električnim aparati...</t>
  </si>
  <si>
    <t>Trgovina na veliko porculanom, staklom...</t>
  </si>
  <si>
    <t>Trgovina na veliko parfemima i kozmeti...</t>
  </si>
  <si>
    <t>Trgovina na veliko farmaceutskim proiz...</t>
  </si>
  <si>
    <t>Trgovina na veliko namještajem, sagovi...</t>
  </si>
  <si>
    <t>GOD_OBR</t>
  </si>
  <si>
    <t>Razdoblje izvještavanja:</t>
  </si>
  <si>
    <t>1073</t>
  </si>
  <si>
    <t>Veterinarske djelatnosti</t>
  </si>
  <si>
    <t>7711</t>
  </si>
  <si>
    <t>BIL</t>
  </si>
  <si>
    <t>DOD</t>
  </si>
  <si>
    <t>NTI</t>
  </si>
  <si>
    <t>NTD</t>
  </si>
  <si>
    <t>DECIMALE</t>
  </si>
  <si>
    <t>Vrsta poslovnog subjekta:</t>
  </si>
  <si>
    <t>do</t>
  </si>
  <si>
    <t>0892</t>
  </si>
  <si>
    <t>Vađenje treseta</t>
  </si>
  <si>
    <t>0893</t>
  </si>
  <si>
    <t>Vađenje soli</t>
  </si>
  <si>
    <t>0899</t>
  </si>
  <si>
    <t>Vađenje ostalih ruda i kamena, d. n.</t>
  </si>
  <si>
    <t>0910</t>
  </si>
  <si>
    <t xml:space="preserve">Nespecijalizirana trgovina na veliko </t>
  </si>
  <si>
    <t>4711</t>
  </si>
  <si>
    <t>4719</t>
  </si>
  <si>
    <t>4721</t>
  </si>
  <si>
    <t xml:space="preserve"> </t>
  </si>
  <si>
    <t>IMANSTD</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</si>
  <si>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</si>
  <si>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</si>
  <si>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</si>
  <si>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</si>
  <si>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</si>
  <si>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</si>
  <si>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</si>
  <si>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</si>
  <si>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</si>
  <si>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</si>
  <si>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</si>
  <si>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</si>
  <si>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</si>
  <si>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</si>
  <si>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Piljenje i blanjanje drva</t>
  </si>
  <si>
    <t>1621</t>
  </si>
  <si>
    <t>4519</t>
  </si>
  <si>
    <t>D)  PLAĆENI TROŠKOVI BUDUĆEG RAZDOBLJA I OBRAČUNATI
      PRIHODI</t>
  </si>
  <si>
    <t xml:space="preserve">     4. Obveze za zajmove, depozite i slično društava povezanih
         sudjelujućim interesom</t>
  </si>
  <si>
    <t>E) ODGOĐENO PLAĆANJE TROŠKOVA I PRIHOD BUDUĆEGA
     RAZDOBLJA</t>
  </si>
  <si>
    <t>4.0.1.</t>
  </si>
  <si>
    <t>Ispravljena formula na AOP poziciji 223 koja je pogrešno zbrajala AOP oznaku 205 umjesto 206.</t>
  </si>
  <si>
    <t>Kontrola upozorenja na broj zaposlenih upozorava ako je promjena broja zaposlenih iz godine u godinu neuobičajeno velika ili ako je razlika između broja zaposlenih prema satima rada i prosjeka broja zaposlenih veća od 20%. Ako se javi ovo upozorenje, provjerite upisane podatke jer postoji mogućnost da je broj zaposlenih u nekom polju pogrešno upisan.</t>
  </si>
  <si>
    <t>10. Zajmovi primljeni od nefinancijskih poduzeća</t>
  </si>
  <si>
    <t>11. Trgovački krediti i predujmovi primljeni od kućanstva i obrta</t>
  </si>
  <si>
    <t>12. Trgovački krediti i predujmovi primljeni od nefinancijskih poduzeća</t>
  </si>
  <si>
    <t xml:space="preserve">  8. Krediti i zajmovi primljeni od nerezidenata</t>
  </si>
  <si>
    <t xml:space="preserve">  9. Zajmovi primljeni od kućanstva i obrta</t>
  </si>
  <si>
    <t xml:space="preserve">  7. Trgovački krediti i predujmovi dani nerezidentima</t>
  </si>
  <si>
    <t xml:space="preserve">  6. Trgovački krediti i predujmovi dani nefinancijskim poduzećima</t>
  </si>
  <si>
    <t xml:space="preserve">  5. Trgovački krediti i predujmovi dani kućanstvima i obrtima</t>
  </si>
  <si>
    <t xml:space="preserve">  4. Zajmovi dani nerezidentima</t>
  </si>
  <si>
    <t xml:space="preserve">  3. Zajmovi dani nefinancijskim poduzećima</t>
  </si>
  <si>
    <t>4329</t>
  </si>
  <si>
    <t>Ostali građevinski instalacijski radovi</t>
  </si>
  <si>
    <t>4331</t>
  </si>
  <si>
    <t>Fasadni i štukaturski radovi</t>
  </si>
  <si>
    <t>2561</t>
  </si>
  <si>
    <t>Obrada i prevlačenje metala</t>
  </si>
  <si>
    <t>2562</t>
  </si>
  <si>
    <t>REV_OIB</t>
  </si>
  <si>
    <t>Raspodjeljivo imateljima kapitala matice</t>
  </si>
  <si>
    <t>Ukupno kapital i rezerve</t>
  </si>
  <si>
    <t>Opis pozicije</t>
  </si>
  <si>
    <t>Prethodno razdoblje</t>
  </si>
  <si>
    <t>Temeljni (upisani) kapital</t>
  </si>
  <si>
    <t>Kapitalne rezerve</t>
  </si>
  <si>
    <t>Zakonske rezerve</t>
  </si>
  <si>
    <t>Statutarne rezerve</t>
  </si>
  <si>
    <t>Revalorizacijske rezerve</t>
  </si>
  <si>
    <t>Rezerve za vlastite dionice</t>
  </si>
  <si>
    <t>Vlastite dionice i udjeli (odbitna stavka)</t>
  </si>
  <si>
    <t>Ostale rezerve</t>
  </si>
  <si>
    <t>Učinkoviti dio zaštite novčanih tokova</t>
  </si>
  <si>
    <t>Učinkoviti dio zaštite neto ulaganja u inozemstvo</t>
  </si>
  <si>
    <t>Zadržana dobit / preneseni gubitak</t>
  </si>
  <si>
    <t>Dobit / gubitak poslovne godine</t>
  </si>
  <si>
    <t>Ukupno raspodjeljivo imateljima kapitala matice</t>
  </si>
  <si>
    <t>Tekuće razdoblje</t>
  </si>
  <si>
    <r>
      <t xml:space="preserve">AOP
</t>
    </r>
    <r>
      <rPr>
        <b/>
        <sz val="7"/>
        <color indexed="9"/>
        <rFont val="Arial"/>
        <family val="2"/>
        <charset val="238"/>
      </rPr>
      <t>oznaka</t>
    </r>
  </si>
  <si>
    <t>- ako je bilo što upisano u izvještaj o sveobuhvatnoj dobiti 1, u suprotnom 0</t>
  </si>
  <si>
    <t>Duga Resa</t>
  </si>
  <si>
    <t>Nerežišća</t>
  </si>
  <si>
    <t>Tisno</t>
  </si>
  <si>
    <t>Dugi Rat</t>
  </si>
  <si>
    <t>Netretić</t>
  </si>
  <si>
    <t>Proizvodnja proizvoda od mesa i mesa p...</t>
  </si>
  <si>
    <t>Prerada i konzerviranje riba, rakova i...</t>
  </si>
  <si>
    <t>48. Nadoknade troškova, darovi i potpore zaposlenicima i primici u naravi</t>
  </si>
  <si>
    <t>36. Troškovi robe i usluga nabavljenih za daljnju prodaju, a uključenih u 
       vlastite proizvode i/ili usluge</t>
  </si>
  <si>
    <t>41. Izdaci za bruto autorske honorare i ugovore o djelu samo za fizičke osobe
       koje nemaju registriranu djelatnost</t>
  </si>
  <si>
    <t xml:space="preserve">  44.1. u tome: premije neživotnog osiguranja (bruto)</t>
  </si>
  <si>
    <t>52. Vrijednosno usklađivanje zaliha trgovačke robe (robe i usluga nabavljenih
       za daljnju prodaju)</t>
  </si>
  <si>
    <t>51. Vrijednosno usklađivanje predujmova za zalihe</t>
  </si>
  <si>
    <t>50. Vrijednosno usklađivanje zaliha sirovina i materijala</t>
  </si>
  <si>
    <t>Organizacija izvedbe projekata za zgrade</t>
  </si>
  <si>
    <t>4120</t>
  </si>
  <si>
    <t>Gradnja stambenih i nestambenih zgrada</t>
  </si>
  <si>
    <t>4211</t>
  </si>
  <si>
    <t>Gradnja cesta i autocesta</t>
  </si>
  <si>
    <t>4212</t>
  </si>
  <si>
    <t>4213</t>
  </si>
  <si>
    <t>Gradnja mostova i tunela</t>
  </si>
  <si>
    <t>4221</t>
  </si>
  <si>
    <t>Gradnja cjevovoda za tekućine i plinove</t>
  </si>
  <si>
    <t>4222</t>
  </si>
  <si>
    <t>4291</t>
  </si>
  <si>
    <t>Šolta</t>
  </si>
  <si>
    <t>Drniš</t>
  </si>
  <si>
    <t>Muć</t>
  </si>
  <si>
    <t>Špišić Bukovica</t>
  </si>
  <si>
    <t>Drnje</t>
  </si>
  <si>
    <t>Mursko Središće</t>
  </si>
  <si>
    <t>Štefanje</t>
  </si>
  <si>
    <t>Dubrava</t>
  </si>
  <si>
    <t>Murter</t>
  </si>
  <si>
    <t>Štitar</t>
  </si>
  <si>
    <t>Poslovna aktivnost u razdoblju izvještavanja:</t>
  </si>
  <si>
    <t>Nepopunjen obrazac javit će mnoštvo pogrešaka zbog same nepopunjenosti. Tek nakon što popunite Referentnu stranicu i sve pripadajuće obrasce, provjerite status kontrola. Pogreške se moraju ispraviti da bi obrazac bio ispravan, a kod upozorenja provjerite jeste li ispravno upisali podatak na koji kontrola upozorava te ako je upisani podatak neupitno ispravan, upozorenje zanemarite.</t>
  </si>
  <si>
    <t>III. REZERVE IZ DOBITI (AOP 071+072-073+074+075)</t>
  </si>
  <si>
    <t>Proizvodnja ostalih dijelova i pribora...</t>
  </si>
  <si>
    <t>Gradnja čamaca za razonodu i sportskih...</t>
  </si>
  <si>
    <t>Proizvodnja madraca</t>
  </si>
  <si>
    <t>3109</t>
  </si>
  <si>
    <t>Proizvodnja ostalog namještaja</t>
  </si>
  <si>
    <t>3211</t>
  </si>
  <si>
    <t>Proizvodnja novca</t>
  </si>
  <si>
    <t>3212</t>
  </si>
  <si>
    <t>Proizvodnja nakita i srodnih proizvoda</t>
  </si>
  <si>
    <t>3213</t>
  </si>
  <si>
    <t>8790</t>
  </si>
  <si>
    <t>9104</t>
  </si>
  <si>
    <t>Rad umjetničkih objekata</t>
  </si>
  <si>
    <t>9101</t>
  </si>
  <si>
    <t>Djelatnosti knjižnica i arhiva</t>
  </si>
  <si>
    <t>9102</t>
  </si>
  <si>
    <t>Djelatnosti muzeja</t>
  </si>
  <si>
    <t>Trgovina na malo audio i videoopremom ...</t>
  </si>
  <si>
    <t>Trgovina na malo tekstilom u specijali...</t>
  </si>
  <si>
    <t>Trgovina na malo željeznom robom, boja...</t>
  </si>
  <si>
    <t>Trgovina na malo sagovima i prostirači...</t>
  </si>
  <si>
    <t>Kontrola na datum od i datum do te na broj mjeseci poslovanja. Ako izvještaj nije vrste izvještaja 30 te za svrhu javne objave, broj mjeseci poslovanja ne može biti veći od 12 i ne može biti nula u koloni tekuće godine. Ako stvarno razdoblje poslovanja u tekućoj godini nije 1.1. do 31.12., broj mjeseci poslovanja mora odgovarati trajanju razdoblja datuma od i datuma do Računa dobiti u gubitka. Ako su u kolonu prethodne godine upisani podaci i broj mjeseci poslovanja mora biti veći od nule (vrijedi i obratno). Samo kod predaje vrste izvještaja 30 u svrhu javne objave datum od i datum do razdoblja mogu biti i duži od godine dana, pa može i broj mjeseci poslovanja biti veći od 12, a u tom slučaju kolona prethodne godine mora biti prazna. Vrsta izvještaja 10 ne može imati završni datum drugačiji od 31.12. osim u iznimnim slučajevima kad se tvrtka zatvara po ubrzanom postupku bez stečaja ili likvidacije. U tom slučaju, kontrola javlja upozorenje. Vrsta izvještaja 11 kod predaje za javnu objavu ne može imati završni datum 31.12., ali kod predaje za statistiku mora imati 31.12. Ni u jednom obrascu ne mogu biti popunjeni podaci za kolonu godine u kojoj je broj mjeseci poslovanja nula.</t>
  </si>
  <si>
    <t>Razdoblje izvještavanja i vrsta poslovnog subjekta nisu dio standardnog obrasca GFI-POD izvještaja, ali ispunjavanjem ovih podataka osigurat ćete da Vas Excel datoteka preko kontrola upozori koju popratnu (nestandardnu) dokumentaciju ste dužni predati prilikom predaje GFI-POD izvještaja te će neke specifične kontrole raditi ispravno. Odaberete li krivu vrstu poslovnog subjekta, moguće je da obrazac - iako točan u Excelu - ne bude točan i potpun nakon učitavanja.</t>
  </si>
  <si>
    <t>Pogreška signalizira da oznaka konsolidacije nije upisana (DA ili NE) ili da je označeno da je izvještaj konsolidiran, a vrsta poslovnog subjekta je takva da ne može imati konsolidaciju. Konsolidirani izvještaj se ne predaje za statističke potrebe, može imati samo šifru svrhe predaje 2 (javna objava).</t>
  </si>
  <si>
    <t>AOP 089 u Bilanci se popunjava samo u konsolidiranom izvještaju. Kontrola javlja pogrešku ako je ova AOP oznaka popunjena, a izvještaj nije konsolidiran, a upozorenje ako izvještaj jeste konsolidiran, a ova stavka je jednaka nuli. Provjeravaju se podaci u obje kolone podataka ako je u obje broj mjeseci poslovanja veći od nule.</t>
  </si>
  <si>
    <t>Kod obveznika organizacijskog oblika d.d., d.o.o ili j.d.o.o. AOP oznaka 068 mora biti veća od nule za svaku kolonu u kojoj je broj mjeseci poslovanja veći od nula (za godine u kojima je subjekt poslovao). Ako ova kontrola javlja pogrešku, moguće je da je krivo označena vrsta obveznika na Referentnoj stranici ili podaci nisu upisani.</t>
  </si>
  <si>
    <t>Kod obveznika koji imaju šifru autonomnosti 1 ne smiju biti popunjene AOP oznake RDG-a koje se odnose na pozicije vezane uz grupu, tj. AOP oznake: 128, 131, 157, 159, 160, 161, 168 i 169 u koloni tekućeg razdoblja.</t>
  </si>
  <si>
    <t>Kod obveznika koji imaju šifru autonomnosti 1 ne smiju biti popunjene AOP oznake Dodatnih podataka koje se odnose na pozicije vezane uz grupu, tj. AOP oznake: 240, 243, 261 i 296 u koloni tekućeg razdoblja.</t>
  </si>
  <si>
    <t>Pozicije ukupno aktiva (AOP 065) i ukupno pasiva (AOP 125) moraju biti jednake uz dopušteno odstupanje od 1kn zbog zaokruživanja i veće od nule u svakoj godini u kojoj je poslovni subjekt poslovao, tj. gdje je broj mjeseci poslovanja veći od nule. Ukupno aktiva i ukupno pasiva mogu biti nula samo kod završne likvidacijske bilance za javnu objavu (svrha predaje 2 i vrsta izvještaja 30).</t>
  </si>
  <si>
    <t xml:space="preserve">Omogućen unos oznake obveznosti nefinancijskog izvjećša, dorađena kontrola u vezi njega. Omogućen unos "datuma od" razdoblja od 2005. godine nadalje zbog dugotrajnih likvidacija, broj mjeseci u likvidaciji omogućen najviše 132 umjesto dosadašnjih 60. Dorađeni opisi nekih AOP pozicija u Dodatnim podacima (smisao ostao isti, samo su opisi prošireni). Prosjek broja zaposlenih krajem razdoblja preimenovan u Prosjek broja zaposlenih tijekom razdoblja. Smisao broja zaposlenih i dalje isti, računa se kao prosjek stanja na datume: 1.1., 31.3., 30.6., 30.9. i 31.12. </t>
  </si>
  <si>
    <t xml:space="preserve">   13. Obveze po osnovi dugotrajne imovine namijenjene prodaji</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</si>
  <si>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</si>
  <si>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</si>
  <si>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</si>
  <si>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7. Ulaganja u vrijednosne papire</t>
  </si>
  <si>
    <t xml:space="preserve">     8. Dani zajmovi, depoziti i slično</t>
  </si>
  <si>
    <r>
      <t xml:space="preserve">- ako je bilo što upisano u konsolidirana polja u kolonu </t>
    </r>
    <r>
      <rPr>
        <b/>
        <sz val="8"/>
        <rFont val="Arial"/>
        <family val="2"/>
        <charset val="238"/>
      </rPr>
      <t>tekuće</t>
    </r>
    <r>
      <rPr>
        <sz val="8"/>
        <rFont val="Arial"/>
        <family val="2"/>
        <charset val="238"/>
      </rPr>
      <t xml:space="preserve"> godine 1, u suprotnom nula</t>
    </r>
  </si>
  <si>
    <t>8730</t>
  </si>
  <si>
    <t>Novi Golubovec</t>
  </si>
  <si>
    <t>Trnava</t>
  </si>
  <si>
    <t>Pag</t>
  </si>
  <si>
    <t>Virje</t>
  </si>
  <si>
    <t>Gradište</t>
  </si>
  <si>
    <t>Pakoštane</t>
  </si>
  <si>
    <t>Ostale stručne, znanstvene i tehničke ...</t>
  </si>
  <si>
    <t>Iznajmljivanje i davanje u zakup (leas...</t>
  </si>
  <si>
    <t>Velika</t>
  </si>
  <si>
    <t>Glina</t>
  </si>
  <si>
    <t>Opatija</t>
  </si>
  <si>
    <t>Velika Gorica</t>
  </si>
  <si>
    <t>Donja Motičina</t>
  </si>
  <si>
    <t>Marina</t>
  </si>
  <si>
    <t>Sveti Ivan Žabno</t>
  </si>
  <si>
    <t>Donja Stubica</t>
  </si>
  <si>
    <t>Markušica</t>
  </si>
  <si>
    <t>Sveti Juraj na Bregu</t>
  </si>
  <si>
    <t>Donja Voća</t>
  </si>
  <si>
    <t>Martinska Ves</t>
  </si>
  <si>
    <t>Referentna stranica</t>
  </si>
  <si>
    <t xml:space="preserve">    1. Zemljište</t>
  </si>
  <si>
    <t xml:space="preserve">    3. Postrojenja i oprema </t>
  </si>
  <si>
    <t>9412</t>
  </si>
  <si>
    <t>9420</t>
  </si>
  <si>
    <t>Djelatnosti sindikata</t>
  </si>
  <si>
    <t>9491</t>
  </si>
  <si>
    <t>Djelatnosti vjerskih organizacija</t>
  </si>
  <si>
    <t>Vidovec</t>
  </si>
  <si>
    <t>Gospić</t>
  </si>
  <si>
    <t>Osijek</t>
  </si>
  <si>
    <t>Viljevo</t>
  </si>
  <si>
    <t>Gračac</t>
  </si>
  <si>
    <t>Otočac</t>
  </si>
  <si>
    <t>Vinica</t>
  </si>
  <si>
    <t>Gradnja željezničkih pruga i podzemnih...</t>
  </si>
  <si>
    <t>VIII. MANJINSKI (NEKONTROLIRAJUĆI) INTERES</t>
  </si>
  <si>
    <t xml:space="preserve">     6. Druga rezerviranja</t>
  </si>
  <si>
    <t xml:space="preserve">     1. Obveze prema poduzetnicima unutar grupe </t>
  </si>
  <si>
    <t>Gornji Kneginec</t>
  </si>
  <si>
    <t>Orle</t>
  </si>
  <si>
    <t>Veliko Trojstvo</t>
  </si>
  <si>
    <t>Gornji Mihaljevec</t>
  </si>
  <si>
    <t>Oroslavje</t>
  </si>
  <si>
    <t>2740</t>
  </si>
  <si>
    <t>8552</t>
  </si>
  <si>
    <t>8553</t>
  </si>
  <si>
    <t>Djelatnosti vozačkih škola</t>
  </si>
  <si>
    <t>8559</t>
  </si>
  <si>
    <t>4641</t>
  </si>
  <si>
    <t>4615</t>
  </si>
  <si>
    <t>4616</t>
  </si>
  <si>
    <t>Knjigovodstveni servis/kontakt osoba:</t>
  </si>
  <si>
    <t>Prihod od posredništva (provizija od posredovanja), AOP 244 mora biti manji ili jednak stavci Prihod od trgovine (prodaje roba i usluga nabavljenih isključivo za daljnju prodaju i trgovačkih usluga) - ukupni, AOP 242.</t>
  </si>
  <si>
    <t>Prihod od građevinske djelatnosti kao podugovaratelj (podizvođač) (AOP 247) mora biti manji ili jednak zbroju stavki Prihod od građevinske djelatnosti - radova na zgradama (AOP 245) + Prihod od građevinske djelatnosti - radova na ostalim građevinama  (AOP 246).</t>
  </si>
  <si>
    <t>Zbroj AOP oznaka 241+242+245+246+248 do 251 (prihodi po djelatnostima) mora biti jednak zbroju ukupnih prihoda od prodaje (AOP 128+129). U iznimnim slučajevima zbroj prihoda po djelatnosti može biti i veći. Kontrola javlja pogrešku ako je zbroj prihoda po djelatnosti manji od prihoda od prodaje, a upozorenje ako je veći. Kontrola zanemaruje razliku od 1kn zbog zaokruživanja.</t>
  </si>
  <si>
    <t>AOP oznaka 258 mora biti manja ili jednaka AOP oznaci 251.</t>
  </si>
  <si>
    <t>Ako su dodatni podaci popunjeni, zbroj AOP oznaka 252+253 mora biti jednak zbroju AOP oznaka 128+129 u RDG-u uz dopušteno odstupanje od 1 kn.</t>
  </si>
  <si>
    <t>AOP 278 mora biti manji ili jednak AOP-u 277.</t>
  </si>
  <si>
    <t>AOP 240 ne smije biti veći od AOP oznake 128.</t>
  </si>
  <si>
    <t>AOP 243 ne smije biti veći od AOP oznake 242.</t>
  </si>
  <si>
    <t>AOP 243 ne smije biti veći od AOP oznake 240.</t>
  </si>
  <si>
    <t>AOP 254 ne smije biti veći od AOP oznake 130.</t>
  </si>
  <si>
    <t>AOP 255 ne smije biti veći od AOP oznake 131.</t>
  </si>
  <si>
    <t>AOP 257 ne smije biti veći od AOP oznake 256.</t>
  </si>
  <si>
    <t>AOP 261 ne smije biti veći od AOP oznake 137.</t>
  </si>
  <si>
    <t>AOP 273 ne smije biti veći od AOP oznake 272.</t>
  </si>
  <si>
    <t>AOP 284 ne smije biti veći od AOP oznake 156.</t>
  </si>
  <si>
    <t>AOP 287 ne smije biti veći od AOP oznake 167.</t>
  </si>
  <si>
    <t>AOP 294 ne smije biti veći od AOP oznake 288.</t>
  </si>
  <si>
    <t xml:space="preserve">Tekući izdaci za odvoz i zbrinjavanje otpada, odvodnju i tretman otpadnih voda te ostali tekući izdaci za zaštitu okoliša (AOP 263) trebali bi biti veći od nule. </t>
  </si>
  <si>
    <t>Iznos na stavci Prihodi od subvencija-ukupni (AOP 256), u pravilu ne bi smio biti veći od zbroja AOP oznaka 131 + 132.</t>
  </si>
  <si>
    <t>Troškovi robe i usluga nabavljenih za daljnju prodaju, a uključenih u vlastite proizvode i/ili usluge (AOP 264) ne bi smjeli biti veći od zbroja prihoda svih djelatnosti (osim prihoda od trgovine - AOP 242). Kontrola upozorava ako je AOP 264 veći od zbroja AOP-a 241 + 245 + 246 + 248 do 251.</t>
  </si>
  <si>
    <t>Troškovi robe i usluga nabavljenih za daljnju prodaju, a uključenih u vlastite proizvode i/ili usluge (AOP 264) trebali bi biti manji ili jednaki AOP oznaci 137.</t>
  </si>
  <si>
    <t>Porezi koji ne ovise o dobitku i pristojbe (AOP 274) trebali bi biti veći od nule.</t>
  </si>
  <si>
    <t>Izvještaji s oznakom vrste izvještaja 11 ne mogu biti istovremeno predani u svrhu javne objave i statistike jer se izvještaj za statistiku predaje za kalendarsku godinu, dok se izvještaj za javnu objavu predaje za poslovnu godinu koja je kod vrste izvještaja 11 različita od kalendarske, pa shodno tome podaci za dva različita razdoblja ne mogu biti identični.</t>
  </si>
  <si>
    <t>Zrinski Topolovac</t>
  </si>
  <si>
    <t>Karlovac</t>
  </si>
  <si>
    <t>Preseka</t>
  </si>
  <si>
    <t>Žakanje</t>
  </si>
  <si>
    <t>- ako je bilo koji AOP različit od nule 1 u suprotnom 0</t>
  </si>
  <si>
    <r>
      <t xml:space="preserve">- ako je upisan bilo koji AOP u koloni </t>
    </r>
    <r>
      <rPr>
        <b/>
        <sz val="8"/>
        <rFont val="Arial"/>
        <family val="2"/>
        <charset val="238"/>
      </rPr>
      <t>tekuće</t>
    </r>
    <r>
      <rPr>
        <sz val="8"/>
        <rFont val="Arial"/>
        <family val="2"/>
        <charset val="238"/>
      </rPr>
      <t xml:space="preserve"> godine 1 u suprotnom 0</t>
    </r>
  </si>
  <si>
    <t>RDG</t>
  </si>
  <si>
    <t>PK</t>
  </si>
  <si>
    <t xml:space="preserve">    2. Građevinski objekti</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</si>
  <si>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</si>
  <si>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</si>
  <si>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</si>
  <si>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</si>
  <si>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</si>
  <si>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</si>
  <si>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</si>
  <si>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</si>
  <si>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</si>
  <si>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</si>
  <si>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</si>
  <si>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</si>
  <si>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</si>
  <si>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</si>
  <si>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</si>
  <si>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</si>
  <si>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</si>
  <si>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</si>
  <si>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</si>
  <si>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</si>
  <si>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</si>
  <si>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</si>
  <si>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Redni broj i rezultat kontrole</t>
  </si>
  <si>
    <t>Dodatni podaci</t>
  </si>
  <si>
    <t>DODATNI PODACI</t>
  </si>
  <si>
    <t>Proizvodnja celuloze</t>
  </si>
  <si>
    <t>1712</t>
  </si>
  <si>
    <t>Proizvodnja papira i kartona</t>
  </si>
  <si>
    <t>1721</t>
  </si>
  <si>
    <t>1722</t>
  </si>
  <si>
    <t>1723</t>
  </si>
  <si>
    <t>1724</t>
  </si>
  <si>
    <t>Proizvodnja zidnih tapeta</t>
  </si>
  <si>
    <t>1729</t>
  </si>
  <si>
    <t>8010</t>
  </si>
  <si>
    <t>Djelatnosti privatne zaštite</t>
  </si>
  <si>
    <t>8020</t>
  </si>
  <si>
    <t>8413</t>
  </si>
  <si>
    <t>8421</t>
  </si>
  <si>
    <t>Vanjski poslovi</t>
  </si>
  <si>
    <t>8422</t>
  </si>
  <si>
    <t>Poslovi obrane</t>
  </si>
  <si>
    <t>8423</t>
  </si>
  <si>
    <t>Sudske i pravosudne djelatnosti</t>
  </si>
  <si>
    <t>8424</t>
  </si>
  <si>
    <t>Poslovi javnog reda i sigurnosti</t>
  </si>
  <si>
    <t>8425</t>
  </si>
  <si>
    <t>Djelatnosti vatrogasne službe</t>
  </si>
  <si>
    <t>8430</t>
  </si>
  <si>
    <t>8510</t>
  </si>
  <si>
    <t>Predškolsko obrazovanje</t>
  </si>
  <si>
    <t>8520</t>
  </si>
  <si>
    <t>Mali poduzetnik</t>
  </si>
  <si>
    <t>Veliki poduzetnik</t>
  </si>
  <si>
    <t>Otoci Turks i Caicos</t>
  </si>
  <si>
    <t>Tuvalu</t>
  </si>
  <si>
    <t>Uganda</t>
  </si>
  <si>
    <t>Ukrajina</t>
  </si>
  <si>
    <t>Makedonija</t>
  </si>
  <si>
    <t>Egipat</t>
  </si>
  <si>
    <t>Velika Britanija</t>
  </si>
  <si>
    <t>Guernsey</t>
  </si>
  <si>
    <t>Jersey</t>
  </si>
  <si>
    <t>Otok Man</t>
  </si>
  <si>
    <t>Tanzanija, Ujedinjena Republika</t>
  </si>
  <si>
    <t>SAD</t>
  </si>
  <si>
    <t>Američki Djevičanski Otoci</t>
  </si>
  <si>
    <t>Burkina Faso</t>
  </si>
  <si>
    <t>Urugvaj</t>
  </si>
  <si>
    <t>Uzbekistan</t>
  </si>
  <si>
    <t>Venezuela, Bolivarijanska Republika</t>
  </si>
  <si>
    <t>Wallis i Futuna</t>
  </si>
  <si>
    <t>Samoa</t>
  </si>
  <si>
    <t>Jemen</t>
  </si>
  <si>
    <t>Zambija</t>
  </si>
  <si>
    <t>Državno vlasništvo (javno, komunalno i slično)</t>
  </si>
  <si>
    <t>Državno u procesu pretvorbe</t>
  </si>
  <si>
    <t>Državno, pretvorba još nije započela</t>
  </si>
  <si>
    <t>Privatno od osnivanja</t>
  </si>
  <si>
    <t>Privatno nakon pretvorbe</t>
  </si>
  <si>
    <t>Zadružno vlasništvo (zadruge)</t>
  </si>
  <si>
    <t>Mješovito vlasništvo s preko 50% privatnog kapitala</t>
  </si>
  <si>
    <t>Mješovito vlasništvo s preko 50% državnog kapitala</t>
  </si>
  <si>
    <t xml:space="preserve">    2. Koncesije, patenti, licencije, robne i uslužne marke, softver
        i ostala prava</t>
  </si>
  <si>
    <t xml:space="preserve">     4.Ulaganja u udjele (dionice) društava povezanih sudjelujućim
         interesom</t>
  </si>
  <si>
    <t xml:space="preserve">     5. Ulaganja u ostale vrijednosne papire društava povezanih
         sudjelujućim interesom</t>
  </si>
  <si>
    <t>0</t>
  </si>
  <si>
    <t>DatOd</t>
  </si>
  <si>
    <t>DatDo</t>
  </si>
  <si>
    <t>VI</t>
  </si>
  <si>
    <t>Naz</t>
  </si>
  <si>
    <t>Posta</t>
  </si>
  <si>
    <t>MJ</t>
  </si>
  <si>
    <t>ADR</t>
  </si>
  <si>
    <t>OPC</t>
  </si>
  <si>
    <t>Kons</t>
  </si>
  <si>
    <t>Reviz</t>
  </si>
  <si>
    <t>VEL</t>
  </si>
  <si>
    <t>POR_KAP</t>
  </si>
  <si>
    <t>ZAP</t>
  </si>
  <si>
    <t>MJESECI</t>
  </si>
  <si>
    <t>OIB_REV</t>
  </si>
  <si>
    <t xml:space="preserve"> 1. Novčani primici od prodaje dugotrajne materijalne i nematerijalne imovine</t>
  </si>
  <si>
    <t xml:space="preserve"> 2. Novčani primici od prodaje financijskih instrumenata</t>
  </si>
  <si>
    <t xml:space="preserve"> 3. Novčani primici od kamata</t>
  </si>
  <si>
    <t xml:space="preserve">  1. Nerealizirane tečajne razlike po novcu i novčanim ekvivalentima</t>
  </si>
  <si>
    <r>
      <t xml:space="preserve">B)  DUGOTRAJNA IMOVINA </t>
    </r>
    <r>
      <rPr>
        <sz val="9"/>
        <color indexed="62"/>
        <rFont val="Arial"/>
        <family val="2"/>
        <charset val="238"/>
      </rPr>
      <t>(AOP 003+010+020+031+036)</t>
    </r>
  </si>
  <si>
    <t>I. NEMATERIJALNA IMOVINA (AOP 004 do 009)</t>
  </si>
  <si>
    <t>Trgovina automobilima i motornim vozil...</t>
  </si>
  <si>
    <t>Trgovina na veliko dijelovima i pribor...</t>
  </si>
  <si>
    <t>Trgovina na malo dijelovima i priborom...</t>
  </si>
  <si>
    <t>Trgovina motociklima, dijelovima i pri...</t>
  </si>
  <si>
    <t>Posredovanje u trgovini poljoprivredni...</t>
  </si>
  <si>
    <t>Posredovanje u trgovini gorivima, ruda...</t>
  </si>
  <si>
    <t>Posredovanje u trgovini drvom i građev...</t>
  </si>
  <si>
    <t>Polje</t>
  </si>
  <si>
    <t>DAT_OD</t>
  </si>
  <si>
    <t>DAT_DO</t>
  </si>
  <si>
    <t>VR_SUBJT</t>
  </si>
  <si>
    <t>VR_SUBJ</t>
  </si>
  <si>
    <t>NEFIN</t>
  </si>
  <si>
    <t>Uzgoj šećerne trske</t>
  </si>
  <si>
    <r>
      <t xml:space="preserve">A)  KAPITAL I REZERVE </t>
    </r>
    <r>
      <rPr>
        <sz val="9"/>
        <color indexed="62"/>
        <rFont val="Arial"/>
        <family val="2"/>
        <charset val="238"/>
      </rPr>
      <t>(AOP 068 do 070+076+077+083+086+089)</t>
    </r>
  </si>
  <si>
    <r>
      <t xml:space="preserve">A) NETO NOVČANI TOKOVI OD POSLOVNIH AKTIVNOSTI </t>
    </r>
    <r>
      <rPr>
        <sz val="9"/>
        <color indexed="18"/>
        <rFont val="Arial"/>
        <family val="2"/>
        <charset val="238"/>
      </rPr>
      <t>(AOP 006 + 013)</t>
    </r>
  </si>
  <si>
    <t>Ako je obrazac Promjene Kapitala popunjen, vrijednost upisanih podataka u obrascu Promjene kapitala mora i u prethodnoj i u tekućoj godini odgovarati istovrsnim pozicijama u Bilanci. U obrascu Promjene kapitala AOP oznaka 24 za podatke iz kolone prethodne godine, a AOP 51 za podatke iz kolone tekuće godine stupci 4 do 16, moraju odgovarati AOP oznakama Bilance (redom): 068, 069, 071, 072, 073, 074, 075, 076, 078, 079, 080, 081, 082, 083, 086 a stupac 20 mora odgovarati AOP oznaci 089. Dopušteno je odstupanje od 1kn zbog zaokruživanja.</t>
  </si>
  <si>
    <t>Ostali nespomenuti obveznici poreza na dobit</t>
  </si>
  <si>
    <t>STANDARDI</t>
  </si>
  <si>
    <t>VRSTA_NEFIN</t>
  </si>
  <si>
    <t>TEL_OBV</t>
  </si>
  <si>
    <t>AUTONOMNOST</t>
  </si>
  <si>
    <t>MB_MATICE</t>
  </si>
  <si>
    <t>DRZAVA_MATICE</t>
  </si>
  <si>
    <t>Naziv naselja:</t>
  </si>
  <si>
    <t>Poštanski broj:</t>
  </si>
  <si>
    <t>Adresa e-pošte obveznika:</t>
  </si>
  <si>
    <t>(unosi se ime i prezime osobe za kontakt)</t>
  </si>
  <si>
    <t>4665</t>
  </si>
  <si>
    <t>Trgovina na veliko uredskim namještajem</t>
  </si>
  <si>
    <t>4666</t>
  </si>
  <si>
    <t>4669</t>
  </si>
  <si>
    <t>4671</t>
  </si>
  <si>
    <t>4672</t>
  </si>
  <si>
    <t>4673</t>
  </si>
  <si>
    <t>4674</t>
  </si>
  <si>
    <t>Gvozd</t>
  </si>
  <si>
    <t>Gradnja vodnih građevina</t>
  </si>
  <si>
    <t>4299</t>
  </si>
  <si>
    <t>4311</t>
  </si>
  <si>
    <t>Elektroinstalacijski radovi</t>
  </si>
  <si>
    <t>4322</t>
  </si>
  <si>
    <t>Djelatnosti sportskih klubova</t>
  </si>
  <si>
    <t>9313</t>
  </si>
  <si>
    <t>Fitnes centri</t>
  </si>
  <si>
    <t>9319</t>
  </si>
  <si>
    <t>Ostale sportske djelatnosti</t>
  </si>
  <si>
    <t>9321</t>
  </si>
  <si>
    <t>Djelatnosti zabavnih i tematskih parkova</t>
  </si>
  <si>
    <t>9329</t>
  </si>
  <si>
    <t>Naziv pozicije</t>
  </si>
  <si>
    <t>AOP</t>
  </si>
  <si>
    <t>AKTIVA</t>
  </si>
  <si>
    <t>A)  POTRAŽIVANJA ZA UPISANI A NEUPLAĆENI KAPITAL</t>
  </si>
  <si>
    <t>Kontrole popunjenosti podataka i primjene poslovnih pravila - moraju biti zadovoljene</t>
  </si>
  <si>
    <t xml:space="preserve">        a) Neto plaće i nadnice</t>
  </si>
  <si>
    <t>(Prezime i ime ovlaštene osobe)</t>
  </si>
  <si>
    <t>(potpis ovlaštene osobe)</t>
  </si>
  <si>
    <t>Opis koja polja kontrola provjerava i koji podatak treba popraviti ako kontrola javlja pogrešku</t>
  </si>
  <si>
    <t xml:space="preserve">    2. Prihodi od prodaje (izvan grupe)</t>
  </si>
  <si>
    <t>II. MATERIJALNA IMOVINA (AOP 011 do 019)</t>
  </si>
  <si>
    <t>Virovitica</t>
  </si>
  <si>
    <t>Grožnjan</t>
  </si>
  <si>
    <t>Pakrac</t>
  </si>
  <si>
    <t>Vis</t>
  </si>
  <si>
    <t>Grubišno Polje</t>
  </si>
  <si>
    <t>Pašman</t>
  </si>
  <si>
    <t>Visoko</t>
  </si>
  <si>
    <t>0220</t>
  </si>
  <si>
    <t xml:space="preserve">Sječa drva </t>
  </si>
  <si>
    <t>0230</t>
  </si>
  <si>
    <t>0240</t>
  </si>
  <si>
    <t>Pomoćne usluge u šumarstvu</t>
  </si>
  <si>
    <t>0311</t>
  </si>
  <si>
    <t>Morski ribolov</t>
  </si>
  <si>
    <t>0312</t>
  </si>
  <si>
    <t>Slatkovodni ribolov</t>
  </si>
  <si>
    <t>0321</t>
  </si>
  <si>
    <t>Morska akvakultura</t>
  </si>
  <si>
    <t>0322</t>
  </si>
  <si>
    <t>Slatkovodna akvakultura</t>
  </si>
  <si>
    <t>0510</t>
  </si>
  <si>
    <t>Vađenje kamenog ugljena</t>
  </si>
  <si>
    <t>0520</t>
  </si>
  <si>
    <t>Bilanca i Račun dobiti i gubitka</t>
  </si>
  <si>
    <t xml:space="preserve">54. Prihodi s osnove kamata </t>
  </si>
  <si>
    <t>55. Prihodi od dividendi</t>
  </si>
  <si>
    <t>Proizvodnja ostalih strojeva za opće n...</t>
  </si>
  <si>
    <t>Proizvodnja strojeva za poljoprivredu ...</t>
  </si>
  <si>
    <t>Proizvodnja strojeva za rudnike, kamen...</t>
  </si>
  <si>
    <t>Proizvodnja strojeva za industriju hra...</t>
  </si>
  <si>
    <t>Proizvodnja strojeva za industriju tek...</t>
  </si>
  <si>
    <t>Proizvodnja farmaceutskih pripravaka</t>
  </si>
  <si>
    <t>2211</t>
  </si>
  <si>
    <t>5530</t>
  </si>
  <si>
    <t>Kampovi i prostori za kampiranje</t>
  </si>
  <si>
    <t>5590</t>
  </si>
  <si>
    <t>Ostali smještaj</t>
  </si>
  <si>
    <t>5610</t>
  </si>
  <si>
    <t>F)  IZVANBILANČNI ZAPISI</t>
  </si>
  <si>
    <t xml:space="preserve">    1. Promjene vrijednosti zaliha proizvodnje u tijeku i gotovih proizvoda</t>
  </si>
  <si>
    <t xml:space="preserve">   4. Amortizacija</t>
  </si>
  <si>
    <t xml:space="preserve">   5. Ostali troškovi</t>
  </si>
  <si>
    <t xml:space="preserve">  2. Zajmovi dani kućanstvima i obrtima</t>
  </si>
  <si>
    <t xml:space="preserve">  1. Zalihe energetskih proizvoda (ugljen, nafta, derivati, plin i dr.) - bruto</t>
  </si>
  <si>
    <t>Bilanca - aktiva</t>
  </si>
  <si>
    <t>Bilanca - pasiva</t>
  </si>
  <si>
    <t>Račun dobiti i gubitka - poslovni prihodi</t>
  </si>
  <si>
    <t>Prihodi od prodaje prema djelatnostima</t>
  </si>
  <si>
    <t xml:space="preserve">16. Prihod od trgovine ostvaren s poduzetnicima unutar grupe, rezidentima RH </t>
  </si>
  <si>
    <t>17. Prihod od posredništva (provizija od posredovanja)</t>
  </si>
  <si>
    <t>18. Prihod od građevinske djelatnosti - radova na zgradama</t>
  </si>
  <si>
    <t>19. Prihod od građevinske djelatnosti - radova na ostalim građevinama</t>
  </si>
  <si>
    <t>20. Prihod od građevinske djelatnosti kao podugovaratelj (podizvođač)</t>
  </si>
  <si>
    <t>21. Prihod od poljoprivrede, šumarstva i ribarstva</t>
  </si>
  <si>
    <t>24. Prihod od ostalih djelatnosti (financija, osiguranja, nekretnina, inženjerstva,
       znanosti, promidžbe, putničkih agencija, obrazovanja, zdravstva, umjetnosti
       i dr. prema uputama)</t>
  </si>
  <si>
    <t>Prihodi od prodaje prema rezidentnosti kupca</t>
  </si>
  <si>
    <t>Prihodi na temelju upotrebe vlastitih proizvoda, robe i usluga</t>
  </si>
  <si>
    <t>Ostali poslovni prihodi</t>
  </si>
  <si>
    <t>29. Prihodi od subvencija ukupno</t>
  </si>
  <si>
    <t>30. Prihodi od poslovnog najma nekretnina, opreme i slično</t>
  </si>
  <si>
    <t xml:space="preserve">32. Prihodi od ukidanja dugoročnih rezerviranja </t>
  </si>
  <si>
    <t xml:space="preserve">  29.1. u tome: subvencije na proizvode</t>
  </si>
  <si>
    <t>31. Prihodi od najma zemljišta i prihodi od tantijema za iskorištavanje nafte, 
       plina i drugih prirodnih dobara</t>
  </si>
  <si>
    <t>Poslovni rashodi</t>
  </si>
  <si>
    <t>Financijski prihodi i rashodi</t>
  </si>
  <si>
    <t xml:space="preserve">33. Troškovi prodane robe s poduzetnicima unutar grupe, rezidentima RH </t>
  </si>
  <si>
    <t>34. Troškovi energije</t>
  </si>
  <si>
    <t>37. Troškovi usluga podugovaratelja za industrijsku robu i usluge</t>
  </si>
  <si>
    <t>38. Troškovi usluga podugovaratelja (podizvođača) za građevinske radove</t>
  </si>
  <si>
    <t>IMAPK</t>
  </si>
  <si>
    <t>Afganistan</t>
  </si>
  <si>
    <t>Albanija</t>
  </si>
  <si>
    <t>Antarktika</t>
  </si>
  <si>
    <t>Alžir</t>
  </si>
  <si>
    <t>Američka Samoa</t>
  </si>
  <si>
    <t>Andora</t>
  </si>
  <si>
    <t>Angola</t>
  </si>
  <si>
    <t>Antigva i Barbuda</t>
  </si>
  <si>
    <t>Azerbajdžan</t>
  </si>
  <si>
    <t>Argentina</t>
  </si>
  <si>
    <t>Australija</t>
  </si>
  <si>
    <t>Austrija</t>
  </si>
  <si>
    <t>Bahami</t>
  </si>
  <si>
    <t>Bahrein</t>
  </si>
  <si>
    <t>Bangladeš</t>
  </si>
  <si>
    <t>Armenija</t>
  </si>
  <si>
    <t>Barbados</t>
  </si>
  <si>
    <t>Belgija</t>
  </si>
  <si>
    <t>Bermudi</t>
  </si>
  <si>
    <t>Butan</t>
  </si>
  <si>
    <t>Bolivija, Plurinacionalna Država</t>
  </si>
  <si>
    <t>Bosna i Hercegovina</t>
  </si>
  <si>
    <t>Bocvana</t>
  </si>
  <si>
    <t>Otok Bouvet</t>
  </si>
  <si>
    <t>Brazil</t>
  </si>
  <si>
    <t>Belize</t>
  </si>
  <si>
    <t>Ostale financijske uslužne djelatnosti...</t>
  </si>
  <si>
    <t>Djelatnosti posredovanja u poslovanju ...</t>
  </si>
  <si>
    <t>Ostale pomoćne djelatnosti kod financi...</t>
  </si>
  <si>
    <t>Djelatnosti agenata i posrednika osigu...</t>
  </si>
  <si>
    <t>Ostale pomoćne djelatnosti u osiguranj...</t>
  </si>
  <si>
    <t>Iznajmljivanje i upravljanje vlastitim...</t>
  </si>
  <si>
    <t>Upravljanje nekretninama uz naplatu il...</t>
  </si>
  <si>
    <t>Računovodstvene, knjigovodstvene i rev...</t>
  </si>
  <si>
    <t>Odnosi s javnošću i djelatnosti priopć...</t>
  </si>
  <si>
    <t>Savjetovanje u vezi s poslovanjem i os...</t>
  </si>
  <si>
    <t>Inženjerstvo i s njim povezano tehničk...</t>
  </si>
  <si>
    <t>Istraživanje i eksperimentalni razvoj ...</t>
  </si>
  <si>
    <t>Ostalo istraživanje i eksperimentalni ...</t>
  </si>
  <si>
    <t>Agencije za promidžbu (reklamu i propa...</t>
  </si>
  <si>
    <t>Istraživanje tržišta i ispitivanje jav...</t>
  </si>
  <si>
    <t>Proizvodnja užadi, konopaca, upletenog...</t>
  </si>
  <si>
    <t>Proizvodnja netkanog tekstila i proizv...</t>
  </si>
  <si>
    <t>Proizvodnja ostaloga tehničkog i indus...</t>
  </si>
  <si>
    <t>Proizvodnja ostale odjeće i pribora za...</t>
  </si>
  <si>
    <t>Proizvodnja ostale pletene i kukičane ...</t>
  </si>
  <si>
    <t>Štavljenje i obrada kože; dorada i boj...</t>
  </si>
  <si>
    <t>Proizvodnja putnih i ručnih torba i sl...</t>
  </si>
  <si>
    <t>Proizvodnja furnira i ostalih ploča od...</t>
  </si>
  <si>
    <t>4.0.2.</t>
  </si>
  <si>
    <t xml:space="preserve">    3. Prihodi na temelju upotrebe vlastitih proizvoda, robe i usluga</t>
  </si>
  <si>
    <t xml:space="preserve">    4. Ostali poslovni prihodi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</si>
  <si>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</si>
  <si>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</si>
  <si>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</si>
  <si>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</si>
  <si>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</si>
  <si>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</si>
  <si>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VI.   UDIO U DOBITI OD  ZAJEDNIČKIH POTHVATA</t>
  </si>
  <si>
    <t>VII.  UDIO U GUBITKU OD DRUŠTAVA POVEZANIH SUDJELUJUĆIM
        INTERESOM</t>
  </si>
  <si>
    <t>VIII. UDIO U GUBITKU OD ZAJEDNIČKIH POTHVATA</t>
  </si>
  <si>
    <t>XV. POREZ NA DOBIT PREKINUTOG POSLOVANJA</t>
  </si>
  <si>
    <t>UKUPNO POSLOVANJE (popunjava samo poduzetnik obveznik MSFI-a koji ima prekinuto poslovanje)</t>
  </si>
  <si>
    <t>2. Pripisana manjinskom (nekontrolirajućem) interesu</t>
  </si>
  <si>
    <t>Upozorenje zaposlene i troškove osoblja. Ova kontrola upozorava u slučaju da postoje značajni troškovi osoblja (veći od 40.000 kn), a broj zaposlenih krajem razdoblje ili prema satima rada je nula. Ako postoje isplate zaposlenima - moraju postojati i zaposleni, izuzetak su slučajevi gdje se radi o jednom zaposlenom koji radi tek mjesec-dva tokom godine pa je prosječan broj zaposlenih kroz cijelu godinu nula. Kontrola uspoređuje podatke iz prethodne godine i podatke iz tekuće i ovaj uvjet u obje kolone podataka treba biti zadovoljen (osim u spomenutim posebnim slučajevima).</t>
  </si>
  <si>
    <t>Izvještaj o novčanim tokovima</t>
  </si>
  <si>
    <t>IZVJEŠTAJ O NOVČANIM TOKOVIMA - Indirektna metoda</t>
  </si>
  <si>
    <t>IZVJEŠTAJ O NOVČANIM TOKOVIMA - Direktna metoda</t>
  </si>
  <si>
    <t>U Izvještaju o novčanim tokovima po indirektnoj metodi AOP oznake 003, 007, 021 do 027, 035 do 039, 049 i 050 mogu biti nula ili pozitivne. Kontrola će javiti pogrešku ako je u neku od ovih AOP oznaka upisan negativan podatak.</t>
  </si>
  <si>
    <t>7722</t>
  </si>
  <si>
    <t>Iznajmljivanje videokaseta i diskova</t>
  </si>
  <si>
    <t>7729</t>
  </si>
  <si>
    <t>7733</t>
  </si>
  <si>
    <t xml:space="preserve">Knjigoveške i srodne usluge </t>
  </si>
  <si>
    <t>1820</t>
  </si>
  <si>
    <t>Umnožavanje snimljenih zapisa</t>
  </si>
  <si>
    <t>1910</t>
  </si>
  <si>
    <t>Proizvodnja proizvoda koksnih peći</t>
  </si>
  <si>
    <t>1920</t>
  </si>
  <si>
    <t>2011</t>
  </si>
  <si>
    <t>Proizvodnja industrijskih plinova</t>
  </si>
  <si>
    <t>2012</t>
  </si>
  <si>
    <t>Ova pogreška signalizira da je upisana nepostojeća šifra države nadređenog (matičnog) društva ako je upisana.</t>
  </si>
  <si>
    <t>Broj zaposlenih ne može biti veći od 30.000 (u konsolidaciji 65.000). Isto tako, kontrola upozorava ako je broj zaposlenih u bilo kojem polju veći od 1000.</t>
  </si>
  <si>
    <t>1089</t>
  </si>
  <si>
    <t>Djelatnosti keteringa</t>
  </si>
  <si>
    <t>5629</t>
  </si>
  <si>
    <t>5630</t>
  </si>
  <si>
    <t>Djelatnosti pripreme i usluživanja pića</t>
  </si>
  <si>
    <t>5811</t>
  </si>
  <si>
    <t>Izdavanje knjiga</t>
  </si>
  <si>
    <t>5812</t>
  </si>
  <si>
    <t>5813</t>
  </si>
  <si>
    <t>Izdavanje novina</t>
  </si>
  <si>
    <t>5814</t>
  </si>
  <si>
    <t>5819</t>
  </si>
  <si>
    <t>Ostala izdavačka djelatnost</t>
  </si>
  <si>
    <t>5821</t>
  </si>
  <si>
    <t>Izdavanje računalnih igara</t>
  </si>
  <si>
    <t>5829</t>
  </si>
  <si>
    <t>Izdavanje ostalog softvera</t>
  </si>
  <si>
    <t>5911</t>
  </si>
  <si>
    <t>Pogreška signalizira da Matični broj nije upisan ili je pogrešan. Moguće je da je pogrešno odabrana i Vrsta poslovnog subjekta (privatne osobe bez djelatnosti nemaju matični broj, obrtnici moraju imati matični koji počinje s brojem 9, slobodna zanimanja s brojem 8, a OPG-ovi s brojem 5.</t>
  </si>
  <si>
    <t>3.0.3.</t>
  </si>
  <si>
    <t>12. Aktuarski dobici/gubici po planovima definiranih primanja</t>
  </si>
  <si>
    <t>13. Ostale nevlasničke promjene kapitala</t>
  </si>
  <si>
    <t>14. Porez na transakcije priznate direktno u kapitalu</t>
  </si>
  <si>
    <t>18. Otkup vlastitih dionica/udjela</t>
  </si>
  <si>
    <t>POSL_AKT</t>
  </si>
  <si>
    <t>STAND</t>
  </si>
  <si>
    <t>Južna Džordžija i Otoci Južni Sendvič</t>
  </si>
  <si>
    <t>Fidži</t>
  </si>
  <si>
    <t>Finska</t>
  </si>
  <si>
    <t>Otoci Aland</t>
  </si>
  <si>
    <t>Francuska</t>
  </si>
  <si>
    <t>Francuska Gvajana</t>
  </si>
  <si>
    <t>Francuska Polinezija</t>
  </si>
  <si>
    <t>Francuski Južni Teritoriji</t>
  </si>
  <si>
    <t>Džibuti</t>
  </si>
  <si>
    <t>Gabon</t>
  </si>
  <si>
    <t>Gruzija</t>
  </si>
  <si>
    <t>Gambija</t>
  </si>
  <si>
    <t>Palestina, država</t>
  </si>
  <si>
    <t>Njemačka</t>
  </si>
  <si>
    <t>Gana</t>
  </si>
  <si>
    <t>Gibraltar</t>
  </si>
  <si>
    <t>Kiribati</t>
  </si>
  <si>
    <t>Grčka</t>
  </si>
  <si>
    <t>Grenland</t>
  </si>
  <si>
    <t>Grenada</t>
  </si>
  <si>
    <t>Guadeloupe</t>
  </si>
  <si>
    <t>Guam</t>
  </si>
  <si>
    <t>Gvatemala</t>
  </si>
  <si>
    <t>Gvineja</t>
  </si>
  <si>
    <t>Gvajana</t>
  </si>
  <si>
    <t>Haiti</t>
  </si>
  <si>
    <t>Otok Heard i Otoci McDonald</t>
  </si>
  <si>
    <t>Sveta Stolica (Država Vatikanskog Grada)</t>
  </si>
  <si>
    <t>Honduras</t>
  </si>
  <si>
    <t>Hong Kong</t>
  </si>
  <si>
    <t>Mađarska</t>
  </si>
  <si>
    <t>Island</t>
  </si>
  <si>
    <t>Indija</t>
  </si>
  <si>
    <t>Indonezija</t>
  </si>
  <si>
    <t>Iran, Islamska Republika</t>
  </si>
  <si>
    <t>Irak</t>
  </si>
  <si>
    <t>Irska</t>
  </si>
  <si>
    <t>Izrael</t>
  </si>
  <si>
    <t>Italija</t>
  </si>
  <si>
    <t>Bjelokosna Obala</t>
  </si>
  <si>
    <t>Jamajka</t>
  </si>
  <si>
    <t>Japan</t>
  </si>
  <si>
    <t>Kazahstan</t>
  </si>
  <si>
    <t>Jordan</t>
  </si>
  <si>
    <t>Kenija</t>
  </si>
  <si>
    <t>Koreja, Demokratska Narodna Republika</t>
  </si>
  <si>
    <t>Koreja, Republika</t>
  </si>
  <si>
    <t>Kuvajt</t>
  </si>
  <si>
    <t>Kirgistan</t>
  </si>
  <si>
    <t>Laos, Narodna Demokratska Republika</t>
  </si>
  <si>
    <t>Libanon</t>
  </si>
  <si>
    <t>Lesoto</t>
  </si>
  <si>
    <t>Letonija</t>
  </si>
  <si>
    <t>Liberija</t>
  </si>
  <si>
    <t>Libija</t>
  </si>
  <si>
    <t>Lihtenštajn</t>
  </si>
  <si>
    <t>Proizvodnja jabukovače i ostalih voćni...</t>
  </si>
  <si>
    <t>Proizvodnja ostalih nedestiliranih fer...</t>
  </si>
  <si>
    <r>
      <t xml:space="preserve">- ako je upisan bilo koji AOP u koloni </t>
    </r>
    <r>
      <rPr>
        <b/>
        <sz val="9"/>
        <rFont val="Arial"/>
        <family val="2"/>
        <charset val="238"/>
      </rPr>
      <t>prethodne</t>
    </r>
    <r>
      <rPr>
        <sz val="9"/>
        <rFont val="Arial"/>
        <family val="2"/>
        <charset val="238"/>
      </rPr>
      <t xml:space="preserve"> godine, 1 u suprotnom 0</t>
    </r>
  </si>
  <si>
    <r>
      <t xml:space="preserve">- ako je upisan bilo koji AOP u koloni </t>
    </r>
    <r>
      <rPr>
        <b/>
        <sz val="9"/>
        <rFont val="Arial"/>
        <family val="2"/>
        <charset val="238"/>
      </rPr>
      <t>tekuće</t>
    </r>
    <r>
      <rPr>
        <sz val="9"/>
        <rFont val="Arial"/>
        <family val="2"/>
        <charset val="238"/>
      </rPr>
      <t xml:space="preserve"> godine 1 u suprotnom 0</t>
    </r>
  </si>
  <si>
    <r>
      <t xml:space="preserve"> - ako je bilo što upisano u konsolidirana polja u kolonu </t>
    </r>
    <r>
      <rPr>
        <b/>
        <sz val="9"/>
        <rFont val="Arial"/>
        <family val="2"/>
        <charset val="238"/>
      </rPr>
      <t>prethodne</t>
    </r>
    <r>
      <rPr>
        <sz val="9"/>
        <rFont val="Arial"/>
        <family val="2"/>
        <charset val="238"/>
      </rPr>
      <t xml:space="preserve"> godine 1, u suprotnom nula</t>
    </r>
  </si>
  <si>
    <r>
      <t xml:space="preserve">- ako je bilo što upisano u konsolidirana polja u kolonu </t>
    </r>
    <r>
      <rPr>
        <b/>
        <sz val="9"/>
        <rFont val="Arial"/>
        <family val="2"/>
        <charset val="238"/>
      </rPr>
      <t>tekuće</t>
    </r>
    <r>
      <rPr>
        <sz val="9"/>
        <rFont val="Arial"/>
        <family val="2"/>
        <charset val="238"/>
      </rPr>
      <t xml:space="preserve"> godine 1, u suprotnom nula</t>
    </r>
  </si>
  <si>
    <t>Obrazac
POD-BIL</t>
  </si>
  <si>
    <t>-</t>
  </si>
  <si>
    <t>Obrazac
POD-RDG</t>
  </si>
  <si>
    <t>Obrazac
POD-DOP</t>
  </si>
  <si>
    <t>Obrazac
POD-NTI</t>
  </si>
  <si>
    <t>Obrazac
POD-NTD</t>
  </si>
  <si>
    <t>Obrazac
POD-PK</t>
  </si>
  <si>
    <t>- ako je bilo što upisano u prekinuto poslovanje 1, u suprotnom 0</t>
  </si>
  <si>
    <t>- ako je upisan bilo koji AOP u koloni prethodne godine, 1 u suprotnom 0</t>
  </si>
  <si>
    <r>
      <t xml:space="preserve">Manjinski </t>
    </r>
    <r>
      <rPr>
        <b/>
        <sz val="7"/>
        <color indexed="9"/>
        <rFont val="Arial"/>
        <family val="2"/>
        <charset val="238"/>
      </rPr>
      <t>(nekontrolirajući)</t>
    </r>
    <r>
      <rPr>
        <b/>
        <sz val="8"/>
        <color indexed="9"/>
        <rFont val="Arial"/>
        <family val="2"/>
        <charset val="238"/>
      </rPr>
      <t xml:space="preserve">
 interes</t>
    </r>
  </si>
  <si>
    <t>2920</t>
  </si>
  <si>
    <t>2931</t>
  </si>
  <si>
    <t>2932</t>
  </si>
  <si>
    <t>3011</t>
  </si>
  <si>
    <t>Gradnja brodova i plutajućih objekata</t>
  </si>
  <si>
    <t>3012</t>
  </si>
  <si>
    <t>3020</t>
  </si>
  <si>
    <t>Uzgoj usjeva za pripremanje napitaka</t>
  </si>
  <si>
    <t>0128</t>
  </si>
  <si>
    <t>8810</t>
  </si>
  <si>
    <t>8891</t>
  </si>
  <si>
    <t>Djelatnosti dnevne skrbi o djeci</t>
  </si>
  <si>
    <t>8899</t>
  </si>
  <si>
    <t>9001</t>
  </si>
  <si>
    <t>Izvođačka umjetnost</t>
  </si>
  <si>
    <t>9002</t>
  </si>
  <si>
    <t>9003</t>
  </si>
  <si>
    <t>Umjetničko stvaralaštvo</t>
  </si>
  <si>
    <t>9004</t>
  </si>
  <si>
    <t>NE</t>
  </si>
  <si>
    <t>XII.  POREZ NA DOBIT</t>
  </si>
  <si>
    <t>1. Pripisana imateljima kapitala matice</t>
  </si>
  <si>
    <t>Strojna obrada metala</t>
  </si>
  <si>
    <t>2571</t>
  </si>
  <si>
    <t>Proizvodnja sječiva</t>
  </si>
  <si>
    <t>2572</t>
  </si>
  <si>
    <t>IZNOS17</t>
  </si>
  <si>
    <t>IZNOS18</t>
  </si>
  <si>
    <t>IZNOS19</t>
  </si>
  <si>
    <t>IZNOS20</t>
  </si>
  <si>
    <t>IZNOS21</t>
  </si>
  <si>
    <t>IZNOS22</t>
  </si>
  <si>
    <t>Djelatnosti socijalne skrbi bez smješt...</t>
  </si>
  <si>
    <t>Ostale djelatnosti socijalne skrbi bez...</t>
  </si>
  <si>
    <t>Pomoćne djelatnosti u izvođačkoj umjet...</t>
  </si>
  <si>
    <t xml:space="preserve">    3. Potraživanja od kupaca</t>
  </si>
  <si>
    <t>Rad povijesnih mjesta i građevina te s...</t>
  </si>
  <si>
    <t xml:space="preserve">    6. Ostala potraživanja</t>
  </si>
  <si>
    <t xml:space="preserve">     3. Rezerviranja za započete sudske sporove</t>
  </si>
  <si>
    <t xml:space="preserve">     1. Dobit poslovne godine</t>
  </si>
  <si>
    <t xml:space="preserve">     1. Zakonske rezerve</t>
  </si>
  <si>
    <t xml:space="preserve">     2. Rezerve za vlastite dionice</t>
  </si>
  <si>
    <t>Prevoditeljske djelatnosti i usluge tu...</t>
  </si>
  <si>
    <t>III. DUGOTRAJNA FINANCIJSKA IMOVINA (AOP 021 do 030)</t>
  </si>
  <si>
    <t>IV. POTRAŽIVANJA (AOP 032 do 035)</t>
  </si>
  <si>
    <r>
      <t xml:space="preserve">C)  KRATKOTRAJNA IMOVINA </t>
    </r>
    <r>
      <rPr>
        <sz val="9"/>
        <color indexed="62"/>
        <rFont val="Arial"/>
        <family val="2"/>
        <charset val="238"/>
      </rPr>
      <t>(AOP 038+046+053+063)</t>
    </r>
  </si>
  <si>
    <t>I. ZALIHE (AOP 039 do 045)</t>
  </si>
  <si>
    <t>II. POTRAŽIVANJA (AOP 047 do 052)</t>
  </si>
  <si>
    <t>III. KRATKOTRAJNA FINANCIJSKA IMOVINA (AOP 054 do 062)</t>
  </si>
  <si>
    <r>
      <t xml:space="preserve">E)  UKUPNO AKTIVA </t>
    </r>
    <r>
      <rPr>
        <sz val="9"/>
        <color indexed="62"/>
        <rFont val="Arial"/>
        <family val="2"/>
        <charset val="238"/>
      </rPr>
      <t>(AOP 001+002+037+064)</t>
    </r>
  </si>
  <si>
    <t>Litva</t>
  </si>
  <si>
    <t>Luksemburg</t>
  </si>
  <si>
    <t xml:space="preserve">     5. Rezerviranja za troškove u jamstvenim rokovima</t>
  </si>
  <si>
    <t xml:space="preserve">   10. Ostale dugoročne obveze</t>
  </si>
  <si>
    <t xml:space="preserve">   11. Odgođena porezna obveza</t>
  </si>
  <si>
    <t xml:space="preserve">        a) Troškovi sirovina i materijala </t>
  </si>
  <si>
    <t xml:space="preserve">        b) Troškovi prodane robe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</si>
  <si>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</si>
  <si>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</si>
  <si>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</si>
  <si>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</si>
  <si>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</si>
  <si>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</si>
  <si>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</si>
  <si>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</si>
  <si>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Svrha</t>
  </si>
  <si>
    <t>Izvještaj kojeg sastavlja obveznik u godini kada mijenja datum početka i kraja poslovne godine, a za razdoblje od kraja stare poslovne godine do datuma koji prethodi početku nove poslovne godine.</t>
  </si>
  <si>
    <t>Matematičko - logičke obvezne kontrole (kontrole koje u svim uvjetima moraju biti zadovoljene)</t>
  </si>
  <si>
    <t>0710</t>
  </si>
  <si>
    <t>Vađenje željeznih ruda</t>
  </si>
  <si>
    <t>0721</t>
  </si>
  <si>
    <t>Vađenje uranovih i torijevih ruda</t>
  </si>
  <si>
    <t>0729</t>
  </si>
  <si>
    <t>Vađenje ostalih ruda obojenih metala</t>
  </si>
  <si>
    <t>0811</t>
  </si>
  <si>
    <t>4761</t>
  </si>
  <si>
    <t>4762</t>
  </si>
  <si>
    <t>IZNOS12</t>
  </si>
  <si>
    <t>IZNOS13</t>
  </si>
  <si>
    <t>IZNOS14</t>
  </si>
  <si>
    <t>IZNOS15</t>
  </si>
  <si>
    <t>OVL_OSOBA</t>
  </si>
  <si>
    <t>KONTAKT_EMAIL</t>
  </si>
  <si>
    <t>IMABILJ</t>
  </si>
  <si>
    <t>IMAREVIZ</t>
  </si>
  <si>
    <t>Našice</t>
  </si>
  <si>
    <t>Štrigova</t>
  </si>
  <si>
    <t>Dubrovačko Primorje</t>
  </si>
  <si>
    <t>Nedelišće</t>
  </si>
  <si>
    <t>4777</t>
  </si>
  <si>
    <t>4778</t>
  </si>
  <si>
    <t>4779</t>
  </si>
  <si>
    <t>4781</t>
  </si>
  <si>
    <t>4782</t>
  </si>
  <si>
    <t>Kontrolni broj</t>
  </si>
  <si>
    <t>Naziv obveznika:</t>
  </si>
  <si>
    <t>Šifra svrhe predaje:</t>
  </si>
  <si>
    <t>Oznaka veličine:</t>
  </si>
  <si>
    <t>OIB</t>
  </si>
  <si>
    <t>Revizorsko izvješće</t>
  </si>
  <si>
    <t>Godišnje izvješće</t>
  </si>
  <si>
    <t>Hrvatska Dubica</t>
  </si>
  <si>
    <t>Tiskanje novina</t>
  </si>
  <si>
    <t>1812</t>
  </si>
  <si>
    <t xml:space="preserve">Ostalo tiskanje </t>
  </si>
  <si>
    <t>1813</t>
  </si>
  <si>
    <t>Usluge pripreme za tisak i objavljivanje</t>
  </si>
  <si>
    <t>1814</t>
  </si>
  <si>
    <t>za</t>
  </si>
  <si>
    <t>Agencije za poslovanje nekretninama</t>
  </si>
  <si>
    <t>6832</t>
  </si>
  <si>
    <t>6910</t>
  </si>
  <si>
    <t>Pravne djelatnosti</t>
  </si>
  <si>
    <t>6920</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</si>
  <si>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</si>
  <si>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</si>
  <si>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</si>
  <si>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</si>
  <si>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</si>
  <si>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</si>
  <si>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</si>
  <si>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</si>
  <si>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</si>
  <si>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</si>
  <si>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</si>
  <si>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</si>
  <si>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</si>
  <si>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</si>
  <si>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</si>
  <si>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</si>
  <si>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</si>
  <si>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</si>
  <si>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</si>
  <si>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</si>
  <si>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</si>
  <si>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</si>
  <si>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</si>
  <si>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</si>
  <si>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</si>
  <si>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</si>
  <si>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</si>
  <si>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</si>
  <si>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</si>
  <si>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</si>
  <si>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</si>
  <si>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</si>
  <si>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</si>
  <si>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</si>
  <si>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</si>
  <si>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</si>
  <si>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</si>
  <si>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</si>
  <si>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</si>
  <si>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</si>
  <si>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</si>
  <si>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</si>
  <si>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</si>
  <si>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</si>
  <si>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</si>
  <si>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</si>
  <si>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</si>
  <si>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</si>
  <si>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</si>
  <si>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</si>
  <si>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</si>
  <si>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</si>
  <si>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</si>
  <si>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</si>
  <si>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</si>
  <si>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</si>
  <si>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</si>
  <si>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</si>
  <si>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</si>
  <si>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</si>
  <si>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</si>
  <si>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</si>
  <si>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</si>
  <si>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</si>
  <si>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</si>
  <si>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</si>
  <si>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</si>
  <si>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</si>
  <si>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</si>
  <si>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Božićni Otok</t>
  </si>
  <si>
    <t>Kokosovi Otoci (Keeling)</t>
  </si>
  <si>
    <t>Kolumbija</t>
  </si>
  <si>
    <t>Komori</t>
  </si>
  <si>
    <t>Mayotte</t>
  </si>
  <si>
    <t>Kongo</t>
  </si>
  <si>
    <t>Kongo, Demokratska Republika</t>
  </si>
  <si>
    <t>Kukovi Otoci</t>
  </si>
  <si>
    <t>Kostarika</t>
  </si>
  <si>
    <t>Kuba</t>
  </si>
  <si>
    <t>Cipar</t>
  </si>
  <si>
    <t>Češka</t>
  </si>
  <si>
    <t>Benin</t>
  </si>
  <si>
    <t>Danska</t>
  </si>
  <si>
    <t>Dominika</t>
  </si>
  <si>
    <t>Dominikanska Republika</t>
  </si>
  <si>
    <t>Ekvador</t>
  </si>
  <si>
    <t>Salvador</t>
  </si>
  <si>
    <t>Ekvatorska Gvineja</t>
  </si>
  <si>
    <t>Etiopija</t>
  </si>
  <si>
    <t>Eritreja</t>
  </si>
  <si>
    <t>Estonija</t>
  </si>
  <si>
    <t>Ferojski (Ovčji) Otoci</t>
  </si>
  <si>
    <t>Falklandi (Malvini)</t>
  </si>
  <si>
    <t>Trgovina na veliko ostalim proizvodima...</t>
  </si>
  <si>
    <t>Trgovina na veliko računalima, perifer...</t>
  </si>
  <si>
    <t>Trgovina na veliko elektroničkim i tel...</t>
  </si>
  <si>
    <t>Trgovina na veliko poljoprivrednim str...</t>
  </si>
  <si>
    <t>Trgovina na veliko strojevima za rudni...</t>
  </si>
  <si>
    <t>Trgovina na veliko strojevima za tekst...</t>
  </si>
  <si>
    <t>Trgovina na veliko ostalim uredskim st...</t>
  </si>
  <si>
    <t>Trgovina na veliko ostalim strojevima ...</t>
  </si>
  <si>
    <t>Trgovina na veliko krutim, tekućim i p...</t>
  </si>
  <si>
    <t>Trgovina na veliko metalima i metalnim...</t>
  </si>
  <si>
    <t>Trgovina na veliko drvom, građevinskim...</t>
  </si>
  <si>
    <t>Trgovina na veliko željeznom robom, in...</t>
  </si>
  <si>
    <t>Trgovina na veliko ostalim poluproizvo...</t>
  </si>
  <si>
    <t>Trgovina na malo u nespecijaliziranim ...</t>
  </si>
  <si>
    <t>Ostala trgovina na malo u nespecijaliz...</t>
  </si>
  <si>
    <t>Trgovina na malo voćem i povrćem u spe...</t>
  </si>
  <si>
    <t>Trgovina na malo mesom i mesnim proizv...</t>
  </si>
  <si>
    <t>Trgovina na malo ribama, rakovima i šk...</t>
  </si>
  <si>
    <t>Trgovina na malo kruhom, pecivom, kola...</t>
  </si>
  <si>
    <t>Trgovina na malo pićima u specijalizir...</t>
  </si>
  <si>
    <t>Trgovina na malo duhanskim proizvodima...</t>
  </si>
  <si>
    <t>Ostala trgovina na malo prehrambenim p...</t>
  </si>
  <si>
    <t>Trgovina na malo motornim gorivima i m...</t>
  </si>
  <si>
    <t>SIF_OBL_ORG</t>
  </si>
  <si>
    <t>7734</t>
  </si>
  <si>
    <t>Proizvodnja eksploziva</t>
  </si>
  <si>
    <t>2052</t>
  </si>
  <si>
    <t xml:space="preserve">Proizvodnja ljepila </t>
  </si>
  <si>
    <t>2053</t>
  </si>
  <si>
    <t>Proizvodnja eteričnih ulja</t>
  </si>
  <si>
    <t>2059</t>
  </si>
  <si>
    <t>2060</t>
  </si>
  <si>
    <t>Proizvodnja umjetnih vlakana</t>
  </si>
  <si>
    <t>2110</t>
  </si>
  <si>
    <t>2120</t>
  </si>
  <si>
    <t>Obrazovanje i poučavanje u području sp...</t>
  </si>
  <si>
    <t>Obrazovanje i poučavanje u području ku...</t>
  </si>
  <si>
    <t>Pomoćne uslužne djelatnosti u obrazova...</t>
  </si>
  <si>
    <t>Djelatnosti specijalističke medicinske...</t>
  </si>
  <si>
    <t>ZAPSATI</t>
  </si>
  <si>
    <t>NEAKT / MJES POSL</t>
  </si>
  <si>
    <t>Pogreška signalizira da Datum Od i/ili Datum Do izvještajnog razdoblja nisu popunjeni ili nisu ispravno popunjeni.</t>
  </si>
  <si>
    <t>Skupljanje opasnog otpada</t>
  </si>
  <si>
    <t>3821</t>
  </si>
  <si>
    <t>Obrada i zbrinjavanje neopasnog otpada</t>
  </si>
  <si>
    <t>3822</t>
  </si>
  <si>
    <t>Obrada i zbrinjavanje opasnog otpada</t>
  </si>
  <si>
    <t>3831</t>
  </si>
  <si>
    <t>Rastavljanje olupina</t>
  </si>
  <si>
    <t>3832</t>
  </si>
  <si>
    <t>Oporaba posebno izdvojenih materijala</t>
  </si>
  <si>
    <t>3900</t>
  </si>
  <si>
    <t>4110</t>
  </si>
  <si>
    <t>Podaci o zaposlenima</t>
  </si>
  <si>
    <t>59. Bruto investicije u građevine</t>
  </si>
  <si>
    <t>60. Bruto investicije u strojeve i opremu</t>
  </si>
  <si>
    <t>Uzgoj bobičastog, orašastog i ostalog ...</t>
  </si>
  <si>
    <t>Uzgoj bilja za uporabu u farmaciji, ar...</t>
  </si>
  <si>
    <t>Djelatnosti koje se obavljaju nakon že...</t>
  </si>
  <si>
    <t>Lov, stupičarenje i uslužne djelatnost...</t>
  </si>
  <si>
    <t>Uzgoj šuma i ostale djelatnosti u šuma...</t>
  </si>
  <si>
    <t>Skupljanje šumskih plodova i proizvoda...</t>
  </si>
  <si>
    <t>Vađenje ukrasnoga kamena i kamena za g...</t>
  </si>
  <si>
    <t>Djelatnosti šljunčara i pješčara; vađe...</t>
  </si>
  <si>
    <t>Pomoćne djelatnosti za vađenje nafte i...</t>
  </si>
  <si>
    <t>Pomoćne djelatnosti za ostalo rudarstv...</t>
  </si>
  <si>
    <t>Pogreška signalizira da Vrsta izvještaja nije popunjena ili je pogrešno popunjena</t>
  </si>
  <si>
    <t>Kontrole popunjenosti i ispravnosti upisanih podataka na Referentnoj stranici</t>
  </si>
  <si>
    <t>Izvještaj kojeg ispunjava obveznik u stečaju.</t>
  </si>
  <si>
    <t>2841</t>
  </si>
  <si>
    <t>Lijevanje ostalih obojenih metala</t>
  </si>
  <si>
    <t>2511</t>
  </si>
  <si>
    <t>2512</t>
  </si>
  <si>
    <t>Proizvodnja vrata i prozora od metala</t>
  </si>
  <si>
    <t>2521</t>
  </si>
  <si>
    <t>2529</t>
  </si>
  <si>
    <t>2530</t>
  </si>
  <si>
    <t>2592</t>
  </si>
  <si>
    <t>Proizvodnja ambalaže od lakih metala</t>
  </si>
  <si>
    <t>2593</t>
  </si>
  <si>
    <t>V. ODGOĐENA POREZNA IMOVINA</t>
  </si>
  <si>
    <t>IZVJEŠTAJ O OSTALOJ SVEOBUHVATNOJ DOBITI (popunjava poduzetnik obveznik primjene MSFI-a)</t>
  </si>
  <si>
    <t>4764</t>
  </si>
  <si>
    <t>4765</t>
  </si>
  <si>
    <t>Proizvodnja ostalih alatnih strojeva</t>
  </si>
  <si>
    <t>2891</t>
  </si>
  <si>
    <t>2342</t>
  </si>
  <si>
    <t>G)  IZVANBILANČNI ZAPISI</t>
  </si>
  <si>
    <t>PASIVA</t>
  </si>
  <si>
    <t>4662</t>
  </si>
  <si>
    <t>Djelatnosti kockanja i klađenja</t>
  </si>
  <si>
    <t>9311</t>
  </si>
  <si>
    <t>Rad sportskih objekata</t>
  </si>
  <si>
    <t>9312</t>
  </si>
  <si>
    <t>4617</t>
  </si>
  <si>
    <t>Javno trgovačko društvo</t>
  </si>
  <si>
    <t>Komanditno društvo</t>
  </si>
  <si>
    <t>Gospodarsko interesno udruženje</t>
  </si>
  <si>
    <t>Dioničko društvo</t>
  </si>
  <si>
    <t>Društvo s ograničenom odgovornošću</t>
  </si>
  <si>
    <t>Trgovac pojedinac</t>
  </si>
  <si>
    <t>Inozemni osnivač</t>
  </si>
  <si>
    <t>Jednostavno društvo s ograničenom odgovornošću</t>
  </si>
  <si>
    <t>Ustanova</t>
  </si>
  <si>
    <t>Zajednica ustanova</t>
  </si>
  <si>
    <t>Zadruga</t>
  </si>
  <si>
    <t>Druga osoba za koje je upis propisan zakonom</t>
  </si>
  <si>
    <t>Obrtnik, obveznik poreza na dobit</t>
  </si>
  <si>
    <t>Slobodno zanimanje</t>
  </si>
  <si>
    <t>Obiteljsko gospodarstvo</t>
  </si>
  <si>
    <t>Privatna osoba, obveznik poreza na dobit</t>
  </si>
  <si>
    <t>Matični broj i naziv knjigovodstvenog servisa unose se samo ako je vanjski servis sastavio financijski izvještaj, ako je izvještaj sastavljen u računovodstvu obveznika, ova polja se ne popunjavaju. Ako postoji servis, adresa e-pošte obveznika i e-pošte za kontakt ne može biti isti. Obje adrese e-pošte su obvezne zbog komunikacije i zbog slanja potvrde o predaji putem web-a.</t>
  </si>
  <si>
    <t>Ime i prezime osobe ovlaštene za zastupanje mora biti upisano u za to predviđeno polje na Referentnoj stranici.</t>
  </si>
  <si>
    <t>Reguliranje djelatnosti subjekata koji...</t>
  </si>
  <si>
    <t>Reguliranje i poboljšavanje poslovanja...</t>
  </si>
  <si>
    <t>Djelatnosti obveznoga socijalnog osigu...</t>
  </si>
  <si>
    <t>Obrazovanje nakon srednjeg koje nije v...</t>
  </si>
  <si>
    <t>Ukinuta kontrola na vezu AOP-a 023 i 030 u PK obrascu. Ispravljen opis kontrola 89 do 92. Omogućen unos negativnih stavaka na AOP-ima 270 do 270 u Dodatnim podacima, te vezano s tim, promijenjena kontrola na negativne AOP-e u Dodatnim podacima. Ispravljena kontrola 63 i 90. Omogućen unos matičnog broja s početnim brojem 9 za trgovce pojedince. Izvještaj više ne javlja pogrešku kada se odabere oznaka vlasništva 13.</t>
  </si>
  <si>
    <t xml:space="preserve"> a) Amortizacija</t>
  </si>
  <si>
    <t xml:space="preserve"> d) Prihodi od kamata i dividendi</t>
  </si>
  <si>
    <t xml:space="preserve"> e) Rashodi od kamata</t>
  </si>
  <si>
    <t xml:space="preserve"> f) Rezerviranja</t>
  </si>
  <si>
    <t xml:space="preserve"> g) Tečajne razlike (nerealizirane)</t>
  </si>
  <si>
    <t>KNTBR</t>
  </si>
  <si>
    <t>IZNOS01</t>
  </si>
  <si>
    <t>IZNOS02</t>
  </si>
  <si>
    <t>IZNOS03</t>
  </si>
  <si>
    <t>IZNOS04</t>
  </si>
  <si>
    <t>IZNOS05</t>
  </si>
  <si>
    <t>IZNOS06</t>
  </si>
  <si>
    <t>IZNOS07</t>
  </si>
  <si>
    <t>IZNOS08</t>
  </si>
  <si>
    <t>IZNOS09</t>
  </si>
  <si>
    <t>IZNOS10</t>
  </si>
  <si>
    <t>IZNOS11</t>
  </si>
  <si>
    <t>MB</t>
  </si>
  <si>
    <t>MBS</t>
  </si>
  <si>
    <t>NAZIV</t>
  </si>
  <si>
    <t>Proizvodnja sokova od voća i povrća</t>
  </si>
  <si>
    <t>1039</t>
  </si>
  <si>
    <t>1041</t>
  </si>
  <si>
    <t>Proizvodnja ulja i masti</t>
  </si>
  <si>
    <t>1042</t>
  </si>
  <si>
    <t>1051</t>
  </si>
  <si>
    <t>2219</t>
  </si>
  <si>
    <t>4661</t>
  </si>
  <si>
    <t>2363</t>
  </si>
  <si>
    <t>2349</t>
  </si>
  <si>
    <t>2351</t>
  </si>
  <si>
    <t>Proizvodnja cementa</t>
  </si>
  <si>
    <t>2352</t>
  </si>
  <si>
    <t xml:space="preserve">Proizvodnja vapna i gipsa </t>
  </si>
  <si>
    <t>2361</t>
  </si>
  <si>
    <t>2362</t>
  </si>
  <si>
    <t>Broj mjeseci poslovanja:</t>
  </si>
  <si>
    <t>Osoba za kontaktiranje:</t>
  </si>
  <si>
    <t>Odluka o prijedlogu raspodjele dobiti ili pokriću gubitka</t>
  </si>
  <si>
    <t xml:space="preserve">Autonomno društvo, nije bilo član grupe u izvještajnom razdoblju </t>
  </si>
  <si>
    <t xml:space="preserve">Ovisno društvo (nema kontrolu nad drugim društvima), sa maticom u RH </t>
  </si>
  <si>
    <t xml:space="preserve">Status autonomnosti različit od 10 mogu imati samo poduzetnici koji su obveznici javne objave. Svi ostali obveznici poreza na dobit (obrtnici, slobodna zanimanja, OPG-ovi, zadruge, ustanove...) moraju imati status autonomnosti 10. Pogreška na ovoj kontroli znači da je upisana ili pogrešna šifra autonomnosti ili je odabrana pogrešna vrsta poslovnog subjekta. </t>
  </si>
  <si>
    <t>Pogreška signalizira da oznaka veličine nije upisana ili je upisana nepostojeća šifra.</t>
  </si>
  <si>
    <t>Pogreška signalizira da oznaka vlasništva nije upisana ili je upisana nepostojeća šifra.</t>
  </si>
  <si>
    <t>DA</t>
  </si>
  <si>
    <t>Željeznički prijevoz robe</t>
  </si>
  <si>
    <t>4931</t>
  </si>
  <si>
    <t>4932</t>
  </si>
  <si>
    <t>Taksi služba</t>
  </si>
  <si>
    <t>4939</t>
  </si>
  <si>
    <t>Ostali kopneni prijevoz putnika, d. n.</t>
  </si>
  <si>
    <t>4941</t>
  </si>
  <si>
    <t>Cestovni prijevoz robe</t>
  </si>
  <si>
    <t>4942</t>
  </si>
  <si>
    <t>Usluge preseljenja</t>
  </si>
  <si>
    <t>4950</t>
  </si>
  <si>
    <t>Vinodolska Općina</t>
  </si>
  <si>
    <t>Gradec</t>
  </si>
  <si>
    <t>Ozalj</t>
  </si>
  <si>
    <t>Vir</t>
  </si>
  <si>
    <t>Gradina</t>
  </si>
  <si>
    <t xml:space="preserve">     3. Promjene fer vrijednosti financijske obveze po fer vrijednosti kroz račun 
         dobiti i gubitka koja se može pripisati promjenama kreditnog rizika obveze</t>
  </si>
  <si>
    <t xml:space="preserve">     4. Aktuarski dobici/gubici po planovima definiranih primanja</t>
  </si>
  <si>
    <t xml:space="preserve">     5. Ostale stavke koje neće biti reklasificirane</t>
  </si>
  <si>
    <t xml:space="preserve">     6. Porez na dobit koji se odnosi na stavke koje neće biti reklasificirane</t>
  </si>
  <si>
    <r>
      <t>IV. Stavke koje je moguće reklasificirati u dobit ili gubitak</t>
    </r>
    <r>
      <rPr>
        <sz val="9"/>
        <rFont val="Arial"/>
        <family val="2"/>
        <charset val="238"/>
      </rPr>
      <t xml:space="preserve"> (AOP 214 do 222)</t>
    </r>
  </si>
  <si>
    <r>
      <t>III. Stavke koje neće biti reklasificirane u dobit ili gubitak</t>
    </r>
    <r>
      <rPr>
        <sz val="9"/>
        <rFont val="Arial"/>
        <family val="2"/>
        <charset val="238"/>
      </rPr>
      <t xml:space="preserve"> (AOP 207 do 212)</t>
    </r>
  </si>
  <si>
    <t xml:space="preserve">     1. Tečajne razlike iz preračuna inozemnog poslovanja</t>
  </si>
  <si>
    <t>KONTAKT_OS</t>
  </si>
  <si>
    <t>TEL</t>
  </si>
  <si>
    <t>FAX</t>
  </si>
  <si>
    <t>IMALM</t>
  </si>
  <si>
    <t>Bilješke uz financijske izvještaje</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</si>
  <si>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</si>
  <si>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</si>
  <si>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</si>
  <si>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</si>
  <si>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</si>
  <si>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</si>
  <si>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</si>
  <si>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</si>
  <si>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</si>
  <si>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</si>
  <si>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</si>
  <si>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</si>
  <si>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</si>
  <si>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</si>
  <si>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Proizvodnja strojeva za obradu metala</t>
  </si>
  <si>
    <t>2849</t>
  </si>
  <si>
    <t>2894</t>
  </si>
  <si>
    <t>2895</t>
  </si>
  <si>
    <t>2896</t>
  </si>
  <si>
    <t>Proizvodnja strojeva za plastiku i gumu</t>
  </si>
  <si>
    <t>2899</t>
  </si>
  <si>
    <t>2910</t>
  </si>
  <si>
    <t>Proizvodnja motornih vozila</t>
  </si>
  <si>
    <t>Ostalo obrazovanje i poučavanje, d. n.</t>
  </si>
  <si>
    <t>8560</t>
  </si>
  <si>
    <t>8610</t>
  </si>
  <si>
    <t>Djelatnosti bolnica</t>
  </si>
  <si>
    <t>8621</t>
  </si>
  <si>
    <t>Djelatnosti opće medicinske prakse</t>
  </si>
  <si>
    <t>8622</t>
  </si>
  <si>
    <t>8623</t>
  </si>
  <si>
    <t>Djelatnosti stomatološke prakse</t>
  </si>
  <si>
    <t>8690</t>
  </si>
  <si>
    <t>Ostale djelatnosti zdravstvene zaštite</t>
  </si>
  <si>
    <t>8710</t>
  </si>
  <si>
    <t>Djelatnosti ustanova za njegu</t>
  </si>
  <si>
    <t>8720</t>
  </si>
  <si>
    <t>Oznaka vlasništva:</t>
  </si>
  <si>
    <t>Vrsta izvještaja:</t>
  </si>
  <si>
    <t>Izvještaj kojeg ispunjava obveznik kome je kalendarska godina jednaka poslovnoj godini i kod kojeg u godini za koju se izvještaj podnosi nije bilo statusnih promjena, stečaja ili likvidacije.</t>
  </si>
  <si>
    <t>Izvještaj kojeg ispunjava obveznik kome se poslovna godina razlikuje od kalendarske.</t>
  </si>
  <si>
    <t>Adresa e-pošte:</t>
  </si>
  <si>
    <t>0126</t>
  </si>
  <si>
    <t>Uzgoj uljanih plodova</t>
  </si>
  <si>
    <t>0127</t>
  </si>
  <si>
    <t>8030</t>
  </si>
  <si>
    <t>Istražne djelatnosti</t>
  </si>
  <si>
    <t>8110</t>
  </si>
  <si>
    <t>Upravljanje zgradama</t>
  </si>
  <si>
    <t>8121</t>
  </si>
  <si>
    <t>Tkanje tekstila</t>
  </si>
  <si>
    <t>1330</t>
  </si>
  <si>
    <t>Dovršavanje tekstila</t>
  </si>
  <si>
    <t>1391</t>
  </si>
  <si>
    <t>Proizvodnja pletenih i kukičanih tkanina</t>
  </si>
  <si>
    <t>1392</t>
  </si>
  <si>
    <t>1393</t>
  </si>
  <si>
    <t xml:space="preserve">Proizvodnja tepiha i sagova </t>
  </si>
  <si>
    <t>1394</t>
  </si>
  <si>
    <t>1395</t>
  </si>
  <si>
    <t>1396</t>
  </si>
  <si>
    <t>1399</t>
  </si>
  <si>
    <t>Proizvodnja ostalog tekstila, d. n.</t>
  </si>
  <si>
    <t>1411</t>
  </si>
  <si>
    <t>Proizvodnja kožne odjeće</t>
  </si>
  <si>
    <t>1412</t>
  </si>
  <si>
    <t xml:space="preserve">Proizvodnja radne odjeće </t>
  </si>
  <si>
    <t>1413</t>
  </si>
  <si>
    <t>2051</t>
  </si>
  <si>
    <t>Trnovec Bartolovečki</t>
  </si>
  <si>
    <t>Erdut</t>
  </si>
  <si>
    <t>Novi Vinodolski</t>
  </si>
  <si>
    <t>Trogir</t>
  </si>
  <si>
    <t>Popravak elektroničke i optičke opreme</t>
  </si>
  <si>
    <t>3314</t>
  </si>
  <si>
    <t>Osnovno čišćenje zgrada</t>
  </si>
  <si>
    <t>8122</t>
  </si>
  <si>
    <t>8129</t>
  </si>
  <si>
    <t>Ostale djelatnosti čišćenja</t>
  </si>
  <si>
    <t>8130</t>
  </si>
  <si>
    <t>8211</t>
  </si>
  <si>
    <t>Proizvodnja željezničkih lokomotiva i ...</t>
  </si>
  <si>
    <t>Proizvodnja zrakoplova i svemirskih le...</t>
  </si>
  <si>
    <t>Proizvodnja bicikala i invalidskih kol...</t>
  </si>
  <si>
    <t>Proizvodnja ostalih prijevoznih sredst...</t>
  </si>
  <si>
    <t>Proizvodnja namještaja za poslovne i p...</t>
  </si>
  <si>
    <t>Proizvodnja imitacije nakita (bižuteri...</t>
  </si>
  <si>
    <t>(unosi se broj telefona/mobitela osobe za kontaktiranje)</t>
  </si>
  <si>
    <t>U nastavku će biti navedene sve ispravke i promjene u odnosu na Inicijalnu verziju Excel datoteke 4.0.0.</t>
  </si>
  <si>
    <t>Od 2021. godine izmijenjeni su struktura  i sadržaj godišnjih financijskih izvještaja. Dodano je nekoliko pozicija u Bilancu i RDG. Obrazac Dodatni podaci je ostao neizmijenjen s time da su se promijenili samo brojevi AOP pozicija. Navigacija između radnih listova i dalje je omogućena kao i u prijašnjim Excel datotekama.</t>
  </si>
  <si>
    <t xml:space="preserve">    6. Ostali novčani  izdaci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</si>
  <si>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</si>
  <si>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</si>
  <si>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</si>
  <si>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</si>
  <si>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 od poslovnih aktivnosti</t>
  </si>
  <si>
    <r>
      <t xml:space="preserve"> I. Ukupno novčani primici od poslovnih aktivnosti</t>
    </r>
    <r>
      <rPr>
        <sz val="9"/>
        <rFont val="Arial"/>
        <family val="2"/>
        <charset val="238"/>
      </rPr>
      <t xml:space="preserve"> (AOP 001 do 005)</t>
    </r>
  </si>
  <si>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</si>
  <si>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</si>
  <si>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</si>
  <si>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</si>
  <si>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</si>
  <si>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r>
      <t xml:space="preserve">II. Ukupno novčani izdaci od poslovnih aktivnosti </t>
    </r>
    <r>
      <rPr>
        <sz val="9"/>
        <rFont val="Arial"/>
        <family val="2"/>
        <charset val="238"/>
      </rPr>
      <t>(AOP 007 do 012)</t>
    </r>
  </si>
  <si>
    <r>
      <t xml:space="preserve">II. Ukupno novčani primici od investicijskih aktivnosti </t>
    </r>
    <r>
      <rPr>
        <sz val="9"/>
        <rFont val="Arial"/>
        <family val="2"/>
        <charset val="238"/>
      </rPr>
      <t>(AOP 015 do 020)</t>
    </r>
  </si>
  <si>
    <r>
      <t xml:space="preserve">III.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</si>
  <si>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</si>
  <si>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IV. Ukupno novčani primici od financijskih aktivnosti </t>
    </r>
    <r>
      <rPr>
        <sz val="9"/>
        <rFont val="Arial"/>
        <family val="2"/>
        <charset val="238"/>
      </rPr>
      <t>(AOP 029 do 032)</t>
    </r>
  </si>
  <si>
    <r>
      <t xml:space="preserve">V. Ukupno novčani izdaci od financijskih aktivnosti </t>
    </r>
    <r>
      <rPr>
        <sz val="9"/>
        <rFont val="Arial"/>
        <family val="2"/>
        <charset val="238"/>
      </rPr>
      <t>(AOP 034 do 038)</t>
    </r>
  </si>
  <si>
    <r>
      <t xml:space="preserve">C) NETO NOVČANI TOKOVI OD FINANCIJSKIH AKTIVNOSTI </t>
    </r>
    <r>
      <rPr>
        <sz val="9"/>
        <color indexed="18"/>
        <rFont val="Arial"/>
        <family val="2"/>
        <charset val="238"/>
      </rPr>
      <t>(AOP 033+039)</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</si>
  <si>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</si>
  <si>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</si>
  <si>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 raspoloživa za prodaju)</t>
  </si>
  <si>
    <t>Ostale rezerve fer vrijednosti</t>
  </si>
  <si>
    <t>Tečajne razlike iz preračuna inozemnog poslovanja</t>
  </si>
  <si>
    <t>20</t>
  </si>
  <si>
    <t>19. Uplate članova/dioničara</t>
  </si>
  <si>
    <t>20. Isplata udjela u dobiti/dividende</t>
  </si>
  <si>
    <t>Ako je izvještaj konsolidiran, AOP oznaka 185 u obrascu Račun dobiti i gubitka mora biti jednaka AOP oznaci 201 uz dopušteno odstupanje od 1 kn zbog zaokruživanja iznosa. Kod obveznika MSFI-a koji su imali prekinuto poslovanje AOP 198 mora biti jednak AOP oznaci 201 uz dopušteno odstupanje od 1kn.</t>
  </si>
  <si>
    <t>AOP oznaka 185 u obrascu Račun dobiti i gubitka mora biti jednaka AOP oznaci 204 kod obveznika primjene MSFI-a, uz dopušteno odstupanje od 1 kn zbog zaokruživanja iznosa. Ako je subjekt obveznik MSFI-a i ima prekinuto poslovanje tada AOP 198 mora biti jednak AOP-u 204 uz dopušteno odstupanje od 1 kn.</t>
  </si>
  <si>
    <t>Pogrešan tip datoteke. Kako je moguće da i novije i starije verzije Microsoft Excel-a rade sa starijim tipom datoteka, za predaju u Finu zadržan je stariji tip Excel datoteka jer je kompatibilan i sa svim verzijama Excel-a te je s te strane pogodan za rad i korisnicima s novim i sa starim verzijama Microsoft Excel-a. Noviji format Excel datoteka ima u nazivu nastavak ".xlsx", dok stari tip ima nastavak ".xls". Ako je ova kontrola pogrešna, znači da datoteka u nazivu ima tekst ".xlsx" tj. da je pretvorena u novi format. Da bi se datoteka mogla učitati u Finine aplikacije potrebno ju je prije predaje snimiti u stariju verziju. Potrebno je odabrati "File" &gt; "Save As" te pod "File Type" odabrati "Microsoft Excel 97-2003 workbook" (za englesku verziju Excel-a) ili "Datoteka" &gt; "Spremi kao..." te odabrati "Microsoft Excel 97-2003 radna knjiga" u hrvatskoj verziji Office-a. U tom slučaju će se i u nazivu datoteke ".xlsx" pretvoriti u ".xls", datoteku će biti moguće poslati putem web-a ili učitati u poslovnici Fine, a ova kontrola neće javljati pogrešku.</t>
  </si>
  <si>
    <t>Autonomno društvo, bilo je u sastavu grupe u dijelu izvještajnog razdoblja</t>
  </si>
  <si>
    <t>Matični broj nadređenog društva (odnosno dostupni identifikator za nadređena društva iz inozemstva) može biti upisan samo kod šifri autonomnosti 2, 3, 5 i 6. Kontrola javlja pogrešku ako je matični broj nadređenog društva upisan, a šifra autonomnosti je različita od ove četiri. Isto tako, kontrola javlja pogrešku ako je šifra autonomnosti jedna od navedenih, a matični broj nadređenog društva nije upisan. Matični broj nadređenog društva (ako je upisan) mora biti različit od matičnog broja poslovnog subjekta za koji se izvještaj predaje.</t>
  </si>
  <si>
    <t>Link na stranicu obrasca i uputa:</t>
  </si>
  <si>
    <t>Proizvodnja boja, lakova i sličnih pre...</t>
  </si>
  <si>
    <t>Proizvodnja sapuna i deterdženata, sre...</t>
  </si>
  <si>
    <t>Proizvodnja parfema i toaletno-kozmeti...</t>
  </si>
  <si>
    <t>Iznajmljivanje i davanje u zakup (lea­...</t>
  </si>
  <si>
    <t>Davanje u zakup (leasing) prava na upo...</t>
  </si>
  <si>
    <t>Srednjoafrička Republika</t>
  </si>
  <si>
    <t>Šri Lanka</t>
  </si>
  <si>
    <t>Čad</t>
  </si>
  <si>
    <t>Čile</t>
  </si>
  <si>
    <t>Kina</t>
  </si>
  <si>
    <t>Tajvan, Kineska Provincija</t>
  </si>
  <si>
    <t>Telefon:</t>
  </si>
  <si>
    <t>Selca</t>
  </si>
  <si>
    <t>Borovo</t>
  </si>
  <si>
    <t>Krk</t>
  </si>
  <si>
    <t>2229</t>
  </si>
  <si>
    <t>2311</t>
  </si>
  <si>
    <t>Proizvodnja ravnog stakla</t>
  </si>
  <si>
    <t>Proizvodnja rafiniranih naftnih proizv...</t>
  </si>
  <si>
    <t>Proizvodnja ostalih anorganskih osnovn...</t>
  </si>
  <si>
    <t>Proizvodnja ostalih organskih osnovnih...</t>
  </si>
  <si>
    <t>2312</t>
  </si>
  <si>
    <t>Oblikovanje i obrada ravnog stakla</t>
  </si>
  <si>
    <t>2313</t>
  </si>
  <si>
    <t>Proizvodnja šupljeg stakla</t>
  </si>
  <si>
    <t>2314</t>
  </si>
  <si>
    <t>3291</t>
  </si>
  <si>
    <t>Proizvodnja metla i četaka</t>
  </si>
  <si>
    <t>3299</t>
  </si>
  <si>
    <t>Pogreška signalizira da postotak domaćeg i stranog kapitala nije dobro popunjen. Zbrojno moraju dati 100 i moraju biti upisani cijeli brojevi.</t>
  </si>
  <si>
    <t>KAP_DOM</t>
  </si>
  <si>
    <t>KAP_INO</t>
  </si>
  <si>
    <t>POTPISNIK</t>
  </si>
  <si>
    <t>Gračišće</t>
  </si>
  <si>
    <t>Otok</t>
  </si>
  <si>
    <t>Vinkovci</t>
  </si>
  <si>
    <t>Gradac</t>
  </si>
  <si>
    <t>Otok (Vinkovci)</t>
  </si>
  <si>
    <t xml:space="preserve">Proizvodnja sanitarne keramike </t>
  </si>
  <si>
    <t>2343</t>
  </si>
  <si>
    <t>2344</t>
  </si>
  <si>
    <t>Biljeske</t>
  </si>
  <si>
    <t>GodIzvj</t>
  </si>
  <si>
    <t>OdlukaRasp</t>
  </si>
  <si>
    <t>Odluka_Utvr</t>
  </si>
  <si>
    <t xml:space="preserve">Ispravljena je pogreška zbog koje se naziv knjigovodstvenog servisa i prezime i ime osobe za kontaktiranje nisu se učitavali u aplikaciju.Dodana kontrola na duljinu OIB-a revizora. </t>
  </si>
  <si>
    <t xml:space="preserve"> 6. Ostali novčani primici od investicijskih aktivnosti</t>
  </si>
  <si>
    <t xml:space="preserve"> 4. Novčani primici od dividendi</t>
  </si>
  <si>
    <t>4. Novčani izdaci za kamate</t>
  </si>
  <si>
    <t>5. Plaćeni porez na dobit</t>
  </si>
  <si>
    <t>Makao</t>
  </si>
  <si>
    <t>Madagaskar</t>
  </si>
  <si>
    <t>Malavi</t>
  </si>
  <si>
    <t>Malezija</t>
  </si>
  <si>
    <t>Maldivi</t>
  </si>
  <si>
    <t>Mali</t>
  </si>
  <si>
    <t>Malta</t>
  </si>
  <si>
    <t>Martinique</t>
  </si>
  <si>
    <t>Mauritanija</t>
  </si>
  <si>
    <t>Mauricijus</t>
  </si>
  <si>
    <t>Meksiko</t>
  </si>
  <si>
    <t>Monako</t>
  </si>
  <si>
    <t>Mongolija</t>
  </si>
  <si>
    <t>Moldavija, Republika</t>
  </si>
  <si>
    <t>Crna  Gora</t>
  </si>
  <si>
    <t>Montserrat</t>
  </si>
  <si>
    <t>Maroko</t>
  </si>
  <si>
    <t>Mozambik</t>
  </si>
  <si>
    <t>Oman</t>
  </si>
  <si>
    <t>Namibija</t>
  </si>
  <si>
    <t>Nauru</t>
  </si>
  <si>
    <t>Nepal</t>
  </si>
  <si>
    <t>Nizozemska</t>
  </si>
  <si>
    <t>Curaçao</t>
  </si>
  <si>
    <t>Aruba</t>
  </si>
  <si>
    <t>Sveti Martin (nizozemski dio)</t>
  </si>
  <si>
    <t>Bonaire, Sint Eustatius i Saba</t>
  </si>
  <si>
    <t>Nova Kaledonija</t>
  </si>
  <si>
    <t>Vanuatu</t>
  </si>
  <si>
    <t>1011</t>
  </si>
  <si>
    <t>Proizvodnja pripremljene stočne hrane</t>
  </si>
  <si>
    <t>1092</t>
  </si>
  <si>
    <t>1101</t>
  </si>
  <si>
    <t>Pomoćne djelatnosti za uzgoj usjeva</t>
  </si>
  <si>
    <t>0162</t>
  </si>
  <si>
    <t>Pomoćne djelatnosti za uzgoj životinja</t>
  </si>
  <si>
    <t>0163</t>
  </si>
  <si>
    <t>0164</t>
  </si>
  <si>
    <t>Dorada sjemena za sjemenski materijal</t>
  </si>
  <si>
    <t>0170</t>
  </si>
  <si>
    <t>0210</t>
  </si>
  <si>
    <t>9411</t>
  </si>
  <si>
    <t>7990</t>
  </si>
  <si>
    <t>Dubravica</t>
  </si>
  <si>
    <t>AOP 295 mora biti manji ili jednak AOP oznaci 288 osim u iznimnim situacijama. Ako se kontrola javlja, provjerite upisane podatke pod navedenim AOP oznakama.</t>
  </si>
  <si>
    <t>Poslovni subjekt koji je u stavci Status autonomnosti odabrao 2, 3, 5, 6 ili 7,  (član grupe), trebao bi imati neki od poslovnih prihoda ostvaren unutar grupe (AOP 128 ili 131). Ako zaista nisu realizirani poslovni prihodi unutar grupe kontrolu zanemarite.</t>
  </si>
  <si>
    <t>Ako su dodatni podaci popunjeni, zbroj AOP oznaka 229 do 231 trebao bi biti manji ili jednak zbroju AOP oznaka 023+026+028+030+056+059+061+062.</t>
  </si>
  <si>
    <t>Ako su dodatni podaci popunjeni, zbroj AOP oznaka 232 do 234 trebao bi biti manji ili jednak zbroju AOP oznaka 031+046+124.</t>
  </si>
  <si>
    <t>Ako su dodatni podaci popunjeni, zbroj AOP oznaka 235 do 237 trebao bi biti manji ili jednak zbroju AOP oznaka 099+101+102+103+111+113+114+115.</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</si>
  <si>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</si>
  <si>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</si>
  <si>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</si>
  <si>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</si>
  <si>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</si>
  <si>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</si>
  <si>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</si>
  <si>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</si>
  <si>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</si>
  <si>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</si>
  <si>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</si>
  <si>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</si>
  <si>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</si>
  <si>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</si>
  <si>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</si>
  <si>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</si>
  <si>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</si>
  <si>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</si>
  <si>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</si>
  <si>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I. TEMELJNI (UPISANI) KAPITAL</t>
  </si>
  <si>
    <t>II. KAPITALNE REZERVE</t>
  </si>
  <si>
    <t>3099</t>
  </si>
  <si>
    <t>3101</t>
  </si>
  <si>
    <t>3102</t>
  </si>
  <si>
    <t>Novi Zeland</t>
  </si>
  <si>
    <t>Nikaragva</t>
  </si>
  <si>
    <t>Niger</t>
  </si>
  <si>
    <t>Proizvodnja brava i okova</t>
  </si>
  <si>
    <t>2573</t>
  </si>
  <si>
    <t>Proizvodnja alata</t>
  </si>
  <si>
    <t>2591</t>
  </si>
  <si>
    <t>4647</t>
  </si>
  <si>
    <t>4648</t>
  </si>
  <si>
    <t>Trgovina na veliko satovima i nakitom</t>
  </si>
  <si>
    <t>4649</t>
  </si>
  <si>
    <t>4651</t>
  </si>
  <si>
    <t>4652</t>
  </si>
  <si>
    <t>1086</t>
  </si>
  <si>
    <t>4752</t>
  </si>
  <si>
    <t>4753</t>
  </si>
  <si>
    <t>Kaštelir - Labinci</t>
  </si>
  <si>
    <t>Primošten</t>
  </si>
  <si>
    <t>Županja</t>
  </si>
  <si>
    <t>Kijevo</t>
  </si>
  <si>
    <t>Kistanje</t>
  </si>
  <si>
    <t xml:space="preserve">        b) Troškovi poreza i doprinosa iz plaća</t>
  </si>
  <si>
    <t xml:space="preserve">        c) Doprinosi na plaće</t>
  </si>
  <si>
    <t>Ravna Gora</t>
  </si>
  <si>
    <t xml:space="preserve">     3. Potraživanja od kupaca </t>
  </si>
  <si>
    <t xml:space="preserve">    1. Izdaci za razvoj</t>
  </si>
  <si>
    <t xml:space="preserve">    3. Goodwill</t>
  </si>
  <si>
    <t xml:space="preserve">    4. Predujmovi za nabavu nematerijalne imovine</t>
  </si>
  <si>
    <t xml:space="preserve">    5. Nematerijalna imovina u pripremi</t>
  </si>
  <si>
    <t xml:space="preserve">    6. Ostala nematerijalna imovina</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</si>
  <si>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</si>
  <si>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</si>
  <si>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</si>
  <si>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</si>
  <si>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</si>
  <si>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</si>
  <si>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6810</t>
  </si>
  <si>
    <t>Kupnja i prodaja vlastitih nekretnina</t>
  </si>
  <si>
    <t>6820</t>
  </si>
  <si>
    <t>1811</t>
  </si>
  <si>
    <t>Matulji</t>
  </si>
  <si>
    <t>Sveti Martin na Muri</t>
  </si>
  <si>
    <t>Donji Kukuruzari</t>
  </si>
  <si>
    <t>Medulin</t>
  </si>
  <si>
    <t>Sveti Petar Orehovec</t>
  </si>
  <si>
    <t>Donji Lapac</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</si>
  <si>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</si>
  <si>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</si>
  <si>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</si>
  <si>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</si>
  <si>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</si>
  <si>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</si>
  <si>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</si>
  <si>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</si>
  <si>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</si>
  <si>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</si>
  <si>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</si>
  <si>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</si>
  <si>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</si>
  <si>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</si>
  <si>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</si>
  <si>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</si>
  <si>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</si>
  <si>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</si>
  <si>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</si>
  <si>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</si>
  <si>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</si>
  <si>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</si>
  <si>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</si>
  <si>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</si>
  <si>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</si>
  <si>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</si>
  <si>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</si>
  <si>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</si>
  <si>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</si>
  <si>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</si>
  <si>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</si>
  <si>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</si>
  <si>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</si>
  <si>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</si>
  <si>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</si>
  <si>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Trgovina ostalim motornim vozilima</t>
  </si>
  <si>
    <t>4520</t>
  </si>
  <si>
    <t>Održavanje i popravak motornih vozila</t>
  </si>
  <si>
    <t>4531</t>
  </si>
  <si>
    <t>4532</t>
  </si>
  <si>
    <t>4540</t>
  </si>
  <si>
    <t>4611</t>
  </si>
  <si>
    <t>Varaždinske Toplice</t>
  </si>
  <si>
    <t>Bilanca i Račun dobiti i gubitka predaju se u svim slučajevima. Podaci moraju biti popunjeni u onim kolonama u kojima je broj mjeseci poslovanja veći od nule. Izuzetak su poduzetnici koji nisu bili poslovno aktivni. Oni na Referentnoj stranici upisuju broj mjeseci poslovanja, ali moraju označiti da su bili poslovno neaktivni te tada mogu Račun dobiti i gubitka imati prazan i za kolonu u kojoj je broj mjeseci poslovanja veći od nule, ali se smatra kao da je popunjen.</t>
  </si>
  <si>
    <t xml:space="preserve">     9. Ostala ulaganja koja se obračunavaju metodom udjela</t>
  </si>
  <si>
    <t xml:space="preserve">   10.  Ostala dugotrajna financijska imovina</t>
  </si>
  <si>
    <t xml:space="preserve">     1. Potraživanja od poduzetnika unutar grupe </t>
  </si>
  <si>
    <t>Prijevoz robe unutrašnjim vodenim puto...</t>
  </si>
  <si>
    <t>Uslužne djelatnosti u vezi s kopnenim ...</t>
  </si>
  <si>
    <t>Uslužne djelatnosti u vezi s vodenim p...</t>
  </si>
  <si>
    <t>Uslužne djelatnosti u vezi sa zračnim ...</t>
  </si>
  <si>
    <t>Djelatnosti pružanja univerzalnih pošt...</t>
  </si>
  <si>
    <t>Djelatnosti pružanja ostalih poštanski...</t>
  </si>
  <si>
    <t>Odmarališta i slični objekti za kraći ...</t>
  </si>
  <si>
    <t>Djelatnosti restorana i ostalih objeka...</t>
  </si>
  <si>
    <t>Ostale djelatnosti pripreme i usluživa...</t>
  </si>
  <si>
    <t>Izdavanje imenika i popisa korisničkih...</t>
  </si>
  <si>
    <t>Izdavanje časopisa i periodičnih publi...</t>
  </si>
  <si>
    <t>Proizvodnja filmova, videofilmova i te...</t>
  </si>
  <si>
    <t>Djelatnosti koje slijede nakon proizvo...</t>
  </si>
  <si>
    <t>Distribucija filmova, videofilmova i t...</t>
  </si>
  <si>
    <t>Djelatnosti snimanja zvučnih zapisa i ...</t>
  </si>
  <si>
    <t>Upravljanje računalnom opremom i susta...</t>
  </si>
  <si>
    <t>Ostale uslužne djelatnosti u vezi s in...</t>
  </si>
  <si>
    <t>Obrada podataka, usluge poslužitelja i...</t>
  </si>
  <si>
    <t>Ostale informacijske uslužne djelatnos...</t>
  </si>
  <si>
    <t>Uzajamni fondovi (trustovi), ostali fo...</t>
  </si>
  <si>
    <t>Status autonomnosti:</t>
  </si>
  <si>
    <t>Šifra grada/općine:</t>
  </si>
  <si>
    <t>Matični broj subjekta (MBS):</t>
  </si>
  <si>
    <r>
      <t xml:space="preserve">Evidencijski broj </t>
    </r>
    <r>
      <rPr>
        <sz val="7"/>
        <rFont val="Arial"/>
        <family val="2"/>
        <charset val="238"/>
      </rPr>
      <t>(popunjava Registar)</t>
    </r>
  </si>
  <si>
    <t>GODIŠNJI FINANCIJSKI IZVJEŠTAJ PODUZETNIKA</t>
  </si>
  <si>
    <t>OIB subjekta:</t>
  </si>
  <si>
    <t>(dodijeljen od DZS-a)</t>
  </si>
  <si>
    <t>(dodijeljen od nadležnog Trgovačkog suda)</t>
  </si>
  <si>
    <t xml:space="preserve"> . godinu</t>
  </si>
  <si>
    <t>Mikro poduzetnik</t>
  </si>
  <si>
    <t>Srednji poduzetnik</t>
  </si>
  <si>
    <t>Izvještaj je konsolidiran:</t>
  </si>
  <si>
    <t>Izvještaj je revidiran (DA/NE):</t>
  </si>
  <si>
    <t>OIB revizora:</t>
  </si>
  <si>
    <t>(DA/NE)</t>
  </si>
  <si>
    <t>Porijeklo kapitala (%):</t>
  </si>
  <si>
    <t>(domaći)</t>
  </si>
  <si>
    <t>(strani)</t>
  </si>
  <si>
    <t>Telefon za kontaktiranje:</t>
  </si>
  <si>
    <t>(matični broj servisa dodijeljen od DZS-a)</t>
  </si>
  <si>
    <t xml:space="preserve">     4. Novčani izdaci za otkup vlastitih dionica i smanjenje temeljnog
         (upisanog) kapitala</t>
  </si>
  <si>
    <t xml:space="preserve">     6. Dani zajmovi, depoziti i slično društvima povezanim
         sudjelujućim interesom</t>
  </si>
  <si>
    <t xml:space="preserve">     4. Ulaganja u udjele (dionice) društava povezanih
         sudjelujućim interesom</t>
  </si>
  <si>
    <t>ZAP_PROSJEK</t>
  </si>
  <si>
    <t>Pogreška signalizira da šifra Statusa autonomnosti nije upisana ili je upisana nepostojeća šifra.</t>
  </si>
  <si>
    <t>Proizvodnja ostale građevne stolarije ...</t>
  </si>
  <si>
    <t>Proizvodnja ostalih proizvoda od drva,...</t>
  </si>
  <si>
    <t>Proizvodnja valovitog papira i kartona...</t>
  </si>
  <si>
    <t>Proizvodnja robe za kućanstvo i higije...</t>
  </si>
  <si>
    <t>Proizvodnja uredskog materijala od pap...</t>
  </si>
  <si>
    <t>Proizvodnja ostalih proizvoda od papir...</t>
  </si>
  <si>
    <t xml:space="preserve">    7. Biološka imovina</t>
  </si>
  <si>
    <t xml:space="preserve">    1. Potraživanja od poduzetnika unutar grupe </t>
  </si>
  <si>
    <t xml:space="preserve">    2. Potraživanja od društava povezanih sudjelujućim interesom</t>
  </si>
  <si>
    <t xml:space="preserve">    4. Potraživanja od zaposlenika i članova poduzetnika</t>
  </si>
  <si>
    <t xml:space="preserve">    5. Potraživanja od države i drugih institucija</t>
  </si>
  <si>
    <t>Frizerski saloni i saloni za uljepšava...</t>
  </si>
  <si>
    <t>Djelatnosti kućanstava koja zapošljava...</t>
  </si>
  <si>
    <t>Djelatnosti privatnih kućanstava koja ...</t>
  </si>
  <si>
    <t>Djelatnosti izvanteritorijalnih organi...</t>
  </si>
  <si>
    <t xml:space="preserve">     2. Obveze za zajmove, depozite i slično poduzetnika unutar grupe</t>
  </si>
  <si>
    <t xml:space="preserve">     7. Obveze za predujmove</t>
  </si>
  <si>
    <t xml:space="preserve">     8. Obveze prema dobavljačima</t>
  </si>
  <si>
    <t xml:space="preserve">     9. Obveze po vrijednosnim papirima</t>
  </si>
  <si>
    <t xml:space="preserve">     3. Obveze prema društvima povezanim sudjelujućim interesom </t>
  </si>
  <si>
    <t xml:space="preserve">     5. Obveze za zajmove, depozite i slično</t>
  </si>
  <si>
    <t xml:space="preserve">     6. Obveze prema bankama i drugim financijskim institucijama</t>
  </si>
  <si>
    <t xml:space="preserve">   10. Obveze prema zaposlenicima</t>
  </si>
  <si>
    <t xml:space="preserve">   11. Obveze  za poreze, doprinose i sličana davanja</t>
  </si>
  <si>
    <t xml:space="preserve">   12. Obveze s osnove udjela u rezultatu</t>
  </si>
  <si>
    <t>Fizičke osobe bez djelatnosti</t>
  </si>
  <si>
    <t>Uzgoj žitarica (osim riže), mahunarki ...</t>
  </si>
  <si>
    <t>Uzgoj povrća, dinja i lubenica, korjen...</t>
  </si>
  <si>
    <t>Proizvodnja proizvoda od krzna</t>
  </si>
  <si>
    <t>1431</t>
  </si>
  <si>
    <t>Proizvodnja pletenih i kukičanih čarapa</t>
  </si>
  <si>
    <t>1439</t>
  </si>
  <si>
    <t>1511</t>
  </si>
  <si>
    <t>1512</t>
  </si>
  <si>
    <t>7022</t>
  </si>
  <si>
    <t>7111</t>
  </si>
  <si>
    <t>Arhitektonske djelatnosti</t>
  </si>
  <si>
    <t>7112</t>
  </si>
  <si>
    <t>7120</t>
  </si>
  <si>
    <t>0111</t>
  </si>
  <si>
    <t>Trgovina na veliko tekstilom</t>
  </si>
  <si>
    <t>4642</t>
  </si>
  <si>
    <t>Trgovina na veliko odjećom i obućom</t>
  </si>
  <si>
    <t>4643</t>
  </si>
  <si>
    <t>4644</t>
  </si>
  <si>
    <t>4645</t>
  </si>
  <si>
    <t>4646</t>
  </si>
  <si>
    <t>Internet adresa:</t>
  </si>
  <si>
    <t>0990</t>
  </si>
  <si>
    <t>Proizvodnja kuhinjskog namještaja</t>
  </si>
  <si>
    <t>3103</t>
  </si>
  <si>
    <t>Internetski portali</t>
  </si>
  <si>
    <t>6391</t>
  </si>
  <si>
    <t>Prosjek broja zaposlenih tijekom razdoblja:</t>
  </si>
  <si>
    <t>Investicije (samo ulaganje u izvještajnoj godini)</t>
  </si>
  <si>
    <t>53. Uvoz (uključuje i stjecanje) u razdoblju</t>
  </si>
  <si>
    <t>Ako se predaje izvještaj u likvidaciji (vrsta izvještaja 30) - nije moguće predaja izvještaja sa svrhom predaje 3 (statistika i javna objava). Za društva u likvidaciji za statističke i druge potrebe financijski izvještaj predaje se za svaku kalendarsku godinu, a u svrhu javne objave vrsta izvještaja 30 predaje se za razdoblje od datuma početka do datuma kraja likvidacije - bez obzira koliko dugo ona trajala. S obzirom da ta dva razdoblja ne mogu po definiciji biti ista - nije moguća predaja izvještaja sa svrhom 3. Isto tako, za izvještaj u likvidaciji koji se predaje u svrhu javne objave, s obzirom da stupac "tekuća" godina predstavlja ukupno razdoblje likvidacije, a ne samo tekuću godinu - podaci za prehtodnu godinu se ne unose pa će u slučaju da kod takvog izvještaja popunite prethodnu godinu kontrola javiti pogrešku. S obzirom da likvidacija u pravilu ne počinje 1.1. i ne završava 31.12. kontrola će upozoriti ako je takav datum početka ili datum kraja razdoblja kod javne objave.</t>
  </si>
  <si>
    <t>Đurmanec</t>
  </si>
  <si>
    <t>Novi Marof</t>
  </si>
  <si>
    <t>3030</t>
  </si>
  <si>
    <t>0812</t>
  </si>
  <si>
    <t>0891</t>
  </si>
  <si>
    <t>Vađenje minerala za kemikalije i gnojiva</t>
  </si>
  <si>
    <t>2751</t>
  </si>
  <si>
    <t>2752</t>
  </si>
  <si>
    <t>2790</t>
  </si>
  <si>
    <t>Proizvodnja ostale električne opreme</t>
  </si>
  <si>
    <t>2811</t>
  </si>
  <si>
    <t>2812</t>
  </si>
  <si>
    <t>2813</t>
  </si>
  <si>
    <t>Proizvodnja ostalih crpki i kompresora</t>
  </si>
  <si>
    <t>2814</t>
  </si>
  <si>
    <t>Proizvodnja ostalih slavina i ventila</t>
  </si>
  <si>
    <t>2815</t>
  </si>
  <si>
    <t>2821</t>
  </si>
  <si>
    <t>Proizvodnja peći i plamenika</t>
  </si>
  <si>
    <t>2822</t>
  </si>
  <si>
    <t>2823</t>
  </si>
  <si>
    <t>Pučišća</t>
  </si>
  <si>
    <t>Bakar</t>
  </si>
  <si>
    <t>Klenovnik</t>
  </si>
  <si>
    <t>Pula</t>
  </si>
  <si>
    <t>Bale</t>
  </si>
  <si>
    <t>Klinča Sela</t>
  </si>
  <si>
    <t>Proizvodnja duhanskih proizvoda</t>
  </si>
  <si>
    <t>1310</t>
  </si>
  <si>
    <t>Priprema i predenje tekstilnih vlakana</t>
  </si>
  <si>
    <t xml:space="preserve"> 5. Novčani primici s osnove povrata danih zajmova i štednih uloga</t>
  </si>
  <si>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</si>
  <si>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</si>
  <si>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</si>
  <si>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</si>
  <si>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</si>
  <si>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t xml:space="preserve">     1. Novčani primici od povećanja temeljnog (upisanog) kapitala</t>
  </si>
  <si>
    <t>Poslovanje financijskih tržišta</t>
  </si>
  <si>
    <t>6612</t>
  </si>
  <si>
    <t>Kastav</t>
  </si>
  <si>
    <t>Pribislavec</t>
  </si>
  <si>
    <t>7735</t>
  </si>
  <si>
    <t>7739</t>
  </si>
  <si>
    <t>7740</t>
  </si>
  <si>
    <t>7810</t>
  </si>
  <si>
    <t>15. Prihod od trgovine (prodaje roba i usluga nabavljenih isključivo
       za daljnju prodaju i trgovačkih usluga) - ukupni</t>
  </si>
  <si>
    <t>22. Prihodi od djelatnosti pružanja smještaja te pripreme i usluživanja
       hrane i pića</t>
  </si>
  <si>
    <t>23. Prihod od djelatnosti prijevoza i skladištenja, izdavačkih, filmskih,
       telekomunikacijskih, informacijskih i djelatnosti računalnog programiranja
       te emitiranja programa</t>
  </si>
  <si>
    <t xml:space="preserve">28. Ostali poslovni prihodi ostvareni s poduzetnicima unutar grupe,
      rezidentima RH </t>
  </si>
  <si>
    <t>35. Tekući izdaci za odvoz i zbrinjavanje otpada, odvodnju i tretman 
       otpadnih voda te ostali tekući izdaci za zaštitu okoliša</t>
  </si>
  <si>
    <t>49. Troškovi od najma zemljišta i plaćeni tantijemi za iskorištavanje nafte,
       plina i drugih prirodnih dobara</t>
  </si>
  <si>
    <t>65. Bruto investicije u opremu, tehnologije, pogone i procese povezane sa
       zaštitom okoliša (za prevenciju, tretman i kontrolu zagađenja)</t>
  </si>
  <si>
    <t>Županija:</t>
  </si>
  <si>
    <t>Matični broj:</t>
  </si>
  <si>
    <t>Naziv</t>
  </si>
  <si>
    <t>Broj zaposlenih prema satima rada:</t>
  </si>
  <si>
    <t>Posredovanje u trgovini strojevima, in...</t>
  </si>
  <si>
    <t>Posredovanje u trgovini namještajem, p...</t>
  </si>
  <si>
    <t>Posredovanje u trgovini tekstilom, odj...</t>
  </si>
  <si>
    <t>Posredovanje u trgovini hranom, pićima...</t>
  </si>
  <si>
    <t>Posredovanje u trgovini specijaliziran...</t>
  </si>
  <si>
    <t>Posredovanje u trgovini raznovrsnim pr...</t>
  </si>
  <si>
    <t>6312</t>
  </si>
  <si>
    <t>Lećevica</t>
  </si>
  <si>
    <t>Slavonski Brod</t>
  </si>
  <si>
    <t>Budinščina</t>
  </si>
  <si>
    <t>Legrad</t>
  </si>
  <si>
    <t>Slavonski Šamac</t>
  </si>
  <si>
    <t>Buje</t>
  </si>
  <si>
    <t>Lekenik</t>
  </si>
  <si>
    <t>Slivno</t>
  </si>
  <si>
    <t>3.0.2.</t>
  </si>
  <si>
    <t>Odluka o utvrđivanju godišnjeg izvještaja predaje se za sve veličine poduzetnika, i to za izvještaje s oznakom vrste izvještaja 10 i 11 - ako je svrha predaje javna objava. Kod vrsta izvještaja 20 i 30 odluka se može predati ali i ne mora (zavisi od stečajnog ili likvidacijskog upravitelja).</t>
  </si>
  <si>
    <t>Djelatnosti botaničkih i zooloških vrt...</t>
  </si>
  <si>
    <t>Ostale zabavne i rekreacijske djelatno...</t>
  </si>
  <si>
    <t>Djelatnosti poslovnih organizacija i o...</t>
  </si>
  <si>
    <t>Djelatnosti strukovnih članskih organi...</t>
  </si>
  <si>
    <t>Djelatnosti ostalih članskih organizac...</t>
  </si>
  <si>
    <t>Djelatnosti agencija za zapošljavanje</t>
  </si>
  <si>
    <t>7820</t>
  </si>
  <si>
    <t>7830</t>
  </si>
  <si>
    <t>Ostalo ustupanje ljudskih resursa</t>
  </si>
  <si>
    <t>7911</t>
  </si>
  <si>
    <t>Djelatnosti putničkih agencija</t>
  </si>
  <si>
    <t>7912</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</si>
  <si>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</si>
  <si>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</si>
  <si>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</si>
  <si>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</si>
  <si>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</si>
  <si>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</si>
  <si>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</si>
  <si>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</si>
  <si>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</si>
  <si>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</si>
  <si>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</si>
  <si>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</si>
  <si>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</si>
  <si>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</si>
  <si>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</si>
  <si>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</si>
  <si>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</si>
  <si>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</si>
  <si>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</si>
  <si>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</si>
  <si>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</si>
  <si>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1622</t>
  </si>
  <si>
    <t>Proizvodnja sastavljenog parketa</t>
  </si>
  <si>
    <t>1623</t>
  </si>
  <si>
    <t>1624</t>
  </si>
  <si>
    <t>Belica</t>
  </si>
  <si>
    <t>3220</t>
  </si>
  <si>
    <t>Proizvodnja glazbenih instrumenata</t>
  </si>
  <si>
    <t>3230</t>
  </si>
  <si>
    <t>Proizvodnja sportske opreme</t>
  </si>
  <si>
    <t>3240</t>
  </si>
  <si>
    <t>Proizvodnja igara i igračaka</t>
  </si>
  <si>
    <t>3250</t>
  </si>
  <si>
    <t>7410</t>
  </si>
  <si>
    <t>Specijalizirane dizajnerske djelatnosti</t>
  </si>
  <si>
    <t>7420</t>
  </si>
  <si>
    <t>Fotografske djelatnosti</t>
  </si>
  <si>
    <t>7430</t>
  </si>
  <si>
    <t>7490</t>
  </si>
  <si>
    <t>7500</t>
  </si>
  <si>
    <t>Andrijaševci</t>
  </si>
  <si>
    <t>Klakar</t>
  </si>
  <si>
    <t>Proložac</t>
  </si>
  <si>
    <t>Antunovac</t>
  </si>
  <si>
    <t>Klana</t>
  </si>
  <si>
    <t>Promina</t>
  </si>
  <si>
    <t>Babina Greda</t>
  </si>
  <si>
    <t>Klanjec</t>
  </si>
  <si>
    <t>4775</t>
  </si>
  <si>
    <t>4776</t>
  </si>
  <si>
    <t>Okučani</t>
  </si>
  <si>
    <t>Ernestinovo</t>
  </si>
  <si>
    <t>4675</t>
  </si>
  <si>
    <t>Trgovina na veliko kemijskim proizvodima</t>
  </si>
  <si>
    <t>4676</t>
  </si>
  <si>
    <t>4677</t>
  </si>
  <si>
    <t>Trgovina na veliko ostacima i otpacima</t>
  </si>
  <si>
    <t>4690</t>
  </si>
  <si>
    <t>Tar-Vabriga</t>
  </si>
  <si>
    <t>Dubrovnik</t>
  </si>
  <si>
    <t>Negoslavci</t>
  </si>
  <si>
    <t>Tinjan</t>
  </si>
  <si>
    <t>Gola</t>
  </si>
  <si>
    <t>Oprisavci</t>
  </si>
  <si>
    <t>Velika Kopanica</t>
  </si>
  <si>
    <t>Goričan</t>
  </si>
  <si>
    <t>Oprtalj</t>
  </si>
  <si>
    <t>Velika Ludina</t>
  </si>
  <si>
    <t>Gorjani</t>
  </si>
  <si>
    <t>4754</t>
  </si>
  <si>
    <t>7712</t>
  </si>
  <si>
    <t>7721</t>
  </si>
  <si>
    <t>Stavka Dobit poslovne godine (AOP 087) u i Gubitak poslovne godine (AOP 088) u Bilanci moraju biti jednake stavkama Dobit razdoblja  (AOP 186) i Gubitak razdoblja (AOP 187) u Računu dobiti i gubitka. Iznimka su obveznici primjene MSFI-a kod kojih su imali prekinuto poslovanje. Kod njih vrijedi da AOP 087 mora biti jednak AOP-u 199, a AOP 088 mora biti jednak AOP-u 200. Zbog zaokruživanja iznosa dopušteno je odstupanje od 1kn. Ova kontrola ne vrijedi kod konsolidiranih izvještaja.</t>
  </si>
  <si>
    <t>Ostale prateće djelatnosti u prijevozu</t>
  </si>
  <si>
    <t>5310</t>
  </si>
  <si>
    <t>5320</t>
  </si>
  <si>
    <t>5510</t>
  </si>
  <si>
    <t>Hoteli i sličan smještaj</t>
  </si>
  <si>
    <t>5520</t>
  </si>
  <si>
    <t>OBRAZAC</t>
  </si>
  <si>
    <t>SIFRA</t>
  </si>
  <si>
    <t>BILJESKA</t>
  </si>
  <si>
    <t>IMARDG</t>
  </si>
  <si>
    <t>IMABIL</t>
  </si>
  <si>
    <t>IMADOD</t>
  </si>
  <si>
    <t>IMANTD</t>
  </si>
  <si>
    <t>IMANTI</t>
  </si>
  <si>
    <t>2. Novčani izdaci za isplatu dividendi</t>
  </si>
  <si>
    <t xml:space="preserve">3. Novčani izdaci za financijski najam </t>
  </si>
  <si>
    <t>56. Prihodi od udjela u dobiti</t>
  </si>
  <si>
    <t xml:space="preserve">57. Rashodi s osnove kamata </t>
  </si>
  <si>
    <t>7010</t>
  </si>
  <si>
    <t>Upravljačke djelatnosti</t>
  </si>
  <si>
    <t>7021</t>
  </si>
  <si>
    <t>6831</t>
  </si>
  <si>
    <t>5621</t>
  </si>
  <si>
    <t>5912</t>
  </si>
  <si>
    <t>5913</t>
  </si>
  <si>
    <t>5914</t>
  </si>
  <si>
    <t>Djelatnosti prikazivanja filmova</t>
  </si>
  <si>
    <t>5920</t>
  </si>
  <si>
    <t>6010</t>
  </si>
  <si>
    <t>Emitiranje radijskog programa</t>
  </si>
  <si>
    <t>6020</t>
  </si>
  <si>
    <t>Emitiranje televizijskog programa</t>
  </si>
  <si>
    <t>6110</t>
  </si>
  <si>
    <t>Djelatnosti žičane telekomunikacije</t>
  </si>
  <si>
    <t>6120</t>
  </si>
  <si>
    <t>Djelatnosti bežične telekomunikacije</t>
  </si>
  <si>
    <t>6130</t>
  </si>
  <si>
    <t>Djelatnosti satelitske telekomunikacije</t>
  </si>
  <si>
    <t>6190</t>
  </si>
  <si>
    <t>Proizvodnja osvježavajućih napitaka; p...</t>
  </si>
  <si>
    <t>Proizvodnja gotovih tekstilnih proizvo...</t>
  </si>
  <si>
    <t>Srednji</t>
  </si>
  <si>
    <t>Veliki</t>
  </si>
  <si>
    <t>Obrazac</t>
  </si>
  <si>
    <t>Prethodna</t>
  </si>
  <si>
    <t>Tekuća</t>
  </si>
  <si>
    <t>REV</t>
  </si>
  <si>
    <t>Vrijednost</t>
  </si>
  <si>
    <t>Proizvodnja medicinskih i stomatološki...</t>
  </si>
  <si>
    <t>Popravak i održavanje zrakoplova i sve...</t>
  </si>
  <si>
    <t>Popravak i održavanje ostalih prijevoz...</t>
  </si>
  <si>
    <t>Instaliranje industrijskih strojeva i ...</t>
  </si>
  <si>
    <t>Distribucija plinovitih goriva distrib...</t>
  </si>
  <si>
    <t>Skupljanje, pročišćavanje i opskrba vo...</t>
  </si>
  <si>
    <t>Djelatnosti sanacije okoliša te ostale...</t>
  </si>
  <si>
    <t>Proizvodnja ostalih proizvoda od gume</t>
  </si>
  <si>
    <t>2221</t>
  </si>
  <si>
    <t>2222</t>
  </si>
  <si>
    <t>Proizvodnja ambalaže od plastike</t>
  </si>
  <si>
    <t>2223</t>
  </si>
  <si>
    <r>
      <t xml:space="preserve">Rbr. 
</t>
    </r>
    <r>
      <rPr>
        <b/>
        <sz val="7"/>
        <color indexed="9"/>
        <rFont val="Arial"/>
        <family val="2"/>
        <charset val="238"/>
      </rPr>
      <t>bilješke</t>
    </r>
  </si>
  <si>
    <t>Vrsta posla: 777</t>
  </si>
  <si>
    <t>ZEMLJA</t>
  </si>
  <si>
    <t>MB_NADR</t>
  </si>
  <si>
    <t>Godina</t>
  </si>
  <si>
    <t>Vađenje lignita</t>
  </si>
  <si>
    <t>0610</t>
  </si>
  <si>
    <t xml:space="preserve">Vađenje sirove nafte </t>
  </si>
  <si>
    <t>0620</t>
  </si>
  <si>
    <t>Vađenje prirodnog plina</t>
  </si>
  <si>
    <t>Proizvodnja električne energije</t>
  </si>
  <si>
    <t>3512</t>
  </si>
  <si>
    <t>Prijenos električne energije</t>
  </si>
  <si>
    <t>3513</t>
  </si>
  <si>
    <t>Ostale telekomunikacijske djelatnosti</t>
  </si>
  <si>
    <t>Proizvodnja gotove betonske smjese</t>
  </si>
  <si>
    <t>2364</t>
  </si>
  <si>
    <t>Proizvodnja žbuke</t>
  </si>
  <si>
    <t>2365</t>
  </si>
  <si>
    <t>Proizvodnja fibro-cementa</t>
  </si>
  <si>
    <t>2369</t>
  </si>
  <si>
    <t>2370</t>
  </si>
  <si>
    <t>Rezanje, oblikovanje i obrada kamena</t>
  </si>
  <si>
    <t>2391</t>
  </si>
  <si>
    <t>Proizvodnja brusnih proizvoda</t>
  </si>
  <si>
    <t>2399</t>
  </si>
  <si>
    <t>2410</t>
  </si>
  <si>
    <t>Beli Manastir</t>
  </si>
  <si>
    <t>Končanica</t>
  </si>
  <si>
    <t>Pregrada</t>
  </si>
  <si>
    <t>Zlatar-Bistrica</t>
  </si>
  <si>
    <t>Kaptol</t>
  </si>
  <si>
    <t>Preko</t>
  </si>
  <si>
    <t>Zmijavci</t>
  </si>
  <si>
    <t>Karlobag</t>
  </si>
  <si>
    <t>Prelog</t>
  </si>
  <si>
    <t>9103</t>
  </si>
  <si>
    <t>9200</t>
  </si>
  <si>
    <t xml:space="preserve">Bilješke uz financijske izvještaje predaju se u svrhu javne objave (samo za javnu objavu ili za javnu objavu i statistiku) uz sve vrste izvještaja, a ne predaju se ako je svrha predaje samo u statističke potrebe. Pogreška je kada je u Općim podacima označeno "NE", a treba biti "DA" ili nije upisano ni "NE" ni "DA". </t>
  </si>
  <si>
    <t>Izvještaj o novčanim tokovima moraju popuniti srednji i veliki poduzetnici ako predaju izvještaj u svrhu javne objave. Ovisno o primjeni računovodstvenih politika poduzetnik popunjava jedan izvještaj, po indirektnoj ili direktnoj metodi. Kontrola javlja pogrešku ako su popunjena oba izvještaja, ili nije ni jedan, a poduzetnik ga je dužan popuniti. Ovaj izvještaj se ne popunjava ako je svrha predaje samo statistika te ako je veličina poduzetnika mikro ili mali. U svakoj godini (tekuća ili prethodna) gdje je broj mjeseci poslovanja veći od nule, moraju biti upisani podaci i u ovaj izvještaj.</t>
  </si>
  <si>
    <t xml:space="preserve">Izvještaj o promjenama kapitala moraju popuniti svi srednji i veliki poduzetnici koji predaju izvještaj u svrhu javne objave. Ovaj izvještaj se ne popunjava ako je svrha predaje samo za statističke potrebe te ako je veličina poduzetnika mikro ili mali. </t>
  </si>
  <si>
    <t>Godišnje izvješće dužni su dostaviti srednji i veliki poduzetnici i to kada se izvještaj predaje za potrebe javne objave, i za vrste izvještaja 10 i 11.</t>
  </si>
  <si>
    <t>Gundinci</t>
  </si>
  <si>
    <t>Pazin</t>
  </si>
  <si>
    <t>Viškovci</t>
  </si>
  <si>
    <t>Gunja</t>
  </si>
  <si>
    <t>Perušić</t>
  </si>
  <si>
    <t>Viškovo</t>
  </si>
  <si>
    <t>Uklanjanje građevina</t>
  </si>
  <si>
    <t>4312</t>
  </si>
  <si>
    <t>Pripremni radovi na gradilištu</t>
  </si>
  <si>
    <t>4313</t>
  </si>
  <si>
    <t>4321</t>
  </si>
  <si>
    <t>Bilanca</t>
  </si>
  <si>
    <t>Životno osiguranje</t>
  </si>
  <si>
    <t>6512</t>
  </si>
  <si>
    <t>Ostalo osiguranje</t>
  </si>
  <si>
    <t>6520</t>
  </si>
  <si>
    <t>Reosiguranje</t>
  </si>
  <si>
    <t>6530</t>
  </si>
  <si>
    <t>Mirovinski fondovi</t>
  </si>
  <si>
    <t>6611</t>
  </si>
  <si>
    <t>Distribucija električne energije</t>
  </si>
  <si>
    <t>3514</t>
  </si>
  <si>
    <t>Trgovina električnom energijom</t>
  </si>
  <si>
    <t>3521</t>
  </si>
  <si>
    <t>Proizvodnja plina</t>
  </si>
  <si>
    <t>3522</t>
  </si>
  <si>
    <t>3523</t>
  </si>
  <si>
    <t>Trgovina plinom distribucijskom mrežom</t>
  </si>
  <si>
    <t>3530</t>
  </si>
  <si>
    <t>Opskrba parom i klimatizacija</t>
  </si>
  <si>
    <t>3600</t>
  </si>
  <si>
    <t>3700</t>
  </si>
  <si>
    <t>Uklanjanje otpadnih voda</t>
  </si>
  <si>
    <t>3811</t>
  </si>
  <si>
    <t>Skupljanje neopasnog otpada</t>
  </si>
  <si>
    <t>3812</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</si>
  <si>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</si>
  <si>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</si>
  <si>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</si>
  <si>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</si>
  <si>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t>Novčani tokovi od investicijskih aktivnosti</t>
  </si>
  <si>
    <t>6. Ostali novčani primici od investicijskih aktivnosti</t>
  </si>
  <si>
    <t>5. Ostali novčani izdaci od investicijskih aktivnosti</t>
  </si>
  <si>
    <t xml:space="preserve">26. Prihodi od prodaje u inozemstvu </t>
  </si>
  <si>
    <t xml:space="preserve">     2. Prihodi od ulaganja u udjele (dionice) društava povezanih
         sudjelujućim interesima</t>
  </si>
  <si>
    <t xml:space="preserve">     5. Tečajne razlike i ostali financijski prihodi iz odnosa s
         poduzetnicima unutar grupe</t>
  </si>
  <si>
    <t>V.    UDIO U DOBITI OD DRUŠTAVA POVEZANIH SUDJELUJUĆIM
        INTERESOM</t>
  </si>
  <si>
    <t>DODATAK Izvještaju o  ostaloj sveobuhvatnoj dobiti (popunjava poduzetnik koji sastavlja konsolidirani izvještaj)</t>
  </si>
  <si>
    <t>(unosi se adresa e-pošte osobe za kontaktiranje)</t>
  </si>
  <si>
    <t>Obveznost predaje nefinancijskog izvješća:</t>
  </si>
  <si>
    <t>Djelatnosti novinskih agencija</t>
  </si>
  <si>
    <t>6399</t>
  </si>
  <si>
    <t>6411</t>
  </si>
  <si>
    <t>Središnje bankarstvo</t>
  </si>
  <si>
    <t>6419</t>
  </si>
  <si>
    <t>Ostalo novčarsko posredovanje</t>
  </si>
  <si>
    <t>6420</t>
  </si>
  <si>
    <t>Djelatnosti holding-društava</t>
  </si>
  <si>
    <t>6430</t>
  </si>
  <si>
    <t>6491</t>
  </si>
  <si>
    <t>Financijski leasing</t>
  </si>
  <si>
    <t>6492</t>
  </si>
  <si>
    <t>Ostalo kreditno posredovanje</t>
  </si>
  <si>
    <t>6499</t>
  </si>
  <si>
    <t>6511</t>
  </si>
  <si>
    <t>6619</t>
  </si>
  <si>
    <t>6621</t>
  </si>
  <si>
    <t>Procjena rizika i štete</t>
  </si>
  <si>
    <t>6622</t>
  </si>
  <si>
    <t>6629</t>
  </si>
  <si>
    <t>6630</t>
  </si>
  <si>
    <t>Djelatnosti upravljanja fondovima</t>
  </si>
  <si>
    <t>Proizvodnja plastike u primarnim oblic...</t>
  </si>
  <si>
    <t>Proizvodnja sintetičkoga kaučuka u pri...</t>
  </si>
  <si>
    <t>Proizvodnja pesticida i drugih agrokem...</t>
  </si>
  <si>
    <t xml:space="preserve">Ostala prerađivačka industrija, d. n. </t>
  </si>
  <si>
    <t>3311</t>
  </si>
  <si>
    <t>Popravak proizvoda od metala</t>
  </si>
  <si>
    <t>3312</t>
  </si>
  <si>
    <t>Popravak strojeva</t>
  </si>
  <si>
    <t>3313</t>
  </si>
  <si>
    <t>1091</t>
  </si>
  <si>
    <t>Verzija</t>
  </si>
  <si>
    <t>Popravak računala i periferne opreme</t>
  </si>
  <si>
    <t>9512</t>
  </si>
  <si>
    <t>Popravak komunikacijske opreme</t>
  </si>
  <si>
    <t>9521</t>
  </si>
  <si>
    <t>9522</t>
  </si>
  <si>
    <t>IV. REVALORIZACIJSKE REZERVE</t>
  </si>
  <si>
    <t>Hercegovac</t>
  </si>
  <si>
    <t>Petlovac</t>
  </si>
  <si>
    <t>Vižinada</t>
  </si>
  <si>
    <t>Hlebine</t>
  </si>
  <si>
    <t>Petrijanec</t>
  </si>
  <si>
    <t>Vladislavci</t>
  </si>
  <si>
    <t>Hrašćina</t>
  </si>
  <si>
    <t>Petrijevci</t>
  </si>
  <si>
    <t>Voćin</t>
  </si>
  <si>
    <t>Hrvace</t>
  </si>
  <si>
    <t xml:space="preserve">Svi obveznici primjene MSFI-a moraju popuniti i izvještaj o Sveobuhvatnoj dobiti tj. moraju popuniti AOP oznake 204 do 224. Obveznici primjene HSFI-a ne mogu popuniti ovaj izvještaj. </t>
  </si>
  <si>
    <t>Podatke koji se odnose na prekinuto poslovanje mogu popuniti samo obveznici primjene MSFI-a. Ova pogreška se javlja ako je obveznik primjene HSFI-a popunio bilo koju od AOP oznaka 188 do 200.</t>
  </si>
  <si>
    <t>Ni jedan iznos u dodatnim podacima ne može biti negativan. Iznimno, na AOP oznakama 280 do 282 moguć je i negativan iznos. U slučajnu negativnog iznosa na ovim AOP oznakama kontrola će javiti upozorenje, a u slučaju negativnog iznosa na bilo kojem drugom AOP-u u Dodatnim podacima kontrola javlja pogrešku jer negativni iznosi nisu dopušteni.</t>
  </si>
  <si>
    <t>Troškovi energije (AOP 262) trebali bi biti veći od nule ako je poslovni subjekt aktivan.</t>
  </si>
  <si>
    <t>Kontrola broja neplaćenih osoba upozorava ako je broj neplaćenih osoba neuobičajeno velik (veći od 3 i veći od 10% prosjeka broja zaposlenih na referentnoj stranici). Provjerite upisani broj neplaćenih osoba pod AOP oznakom 297.</t>
  </si>
  <si>
    <t>AOP 296 mora biti manji ili jednak sumi AOP oznaka 288 i 293 osim u iznimnim situacijama. Ako se kontrola javlja, provjerite upisane podatke pod navedenim AOP oznakama.</t>
  </si>
  <si>
    <t xml:space="preserve">Ako su Dodatni podaci popunjeni, Prihodi od prodaje s poduzetnicima unutar grupe, rezidentima RH, AOP 240 moraju biti manji ili jednaki stavci Prihodi od prodaje u zemlji, AOP 252. Ako je iznos na AOP poziciji 240 veći - javlja se pogreška. </t>
  </si>
  <si>
    <t>Ako su Dodatni podaci popunjeni, Prihodi od prodaje unutar grupe ostvareni s nerezidentima RH (razlika AOP oznaka 128 i 240) moraju biti manji ili jednaki stavci Prihodi od prodaje u inozemstvu, AOP 253.</t>
  </si>
  <si>
    <t>Ako su dodatni podaci popunjeni, zbroj AOP oznaka 238 i 239 trebao bi biti manji ili jednak zbroju AOP oznaka 064+104+105+116+117.</t>
  </si>
  <si>
    <t xml:space="preserve"> 1. Dobit prekinutog poslovanja prije oporezivanja</t>
  </si>
  <si>
    <t xml:space="preserve"> 2. Gubitak prekinutog poslovanja prije oporezivanja</t>
  </si>
  <si>
    <t xml:space="preserve"> 1. Pripisana imateljima kapitala matice</t>
  </si>
  <si>
    <t>Trgovina na malo rabljenom robom u spe...</t>
  </si>
  <si>
    <t>Trgovina na malo hranom, pićima i duha...</t>
  </si>
  <si>
    <t>Trgovina na malo tekstilom, odjećom i ...</t>
  </si>
  <si>
    <t>Trgovina na malo ostalom robom na štan...</t>
  </si>
  <si>
    <t>Trgovina na malo preko pošte ili inter...</t>
  </si>
  <si>
    <t>Ostala trgovina na malo izvan prodavao...</t>
  </si>
  <si>
    <t>Željeznički prijevoz putnika, međugrad...</t>
  </si>
  <si>
    <t>Gradski i prigradski kopneni prijevoz ...</t>
  </si>
  <si>
    <t>Prijevoz putnika unutrašnjim vodenim p...</t>
  </si>
  <si>
    <t>Obrazac Dodatni podaci obavezno se popunjava ako se izvještaj predaje za statističke svrhe ili istovremeno za statističke svrhe i za javnu objavu. Dodatni podaci se popunjavaju uz vrste izvještaja 10, 11, 20, 30 i 40. Obveznici koji su na referentnoj stranici označili da su poslovno neaktivni ne moraju popuniti dodatne podatke. U tom će slučaju kontrola upozoriti da su Dodatni podaci prazni. Kontrola javlja pogrešku ako obrazac Dodatni podaci nije popunjeni kada je predaja u statističke svrhe ili je popunjen, a predaja je samo u svrhu javne objave. Dodatni podaci mora biti popunjen u svim kolonama u kojima je broj mjeseci poslovanja veći od nule.</t>
  </si>
  <si>
    <t>Odluka o raspodjeli dobiti ili pokriću gubitka predaje se za sve veličine poduzetnika, uz izvještaje s oznakom vrste izvještaja 10 i 11. Za vrste izvještaja 20 i 30 ova odluka može se predati, ali nije obvezna dok se uz ostale vrste izvještaja kao ni uz konsolidirane izvještaje ne predaje.</t>
  </si>
  <si>
    <r>
      <t xml:space="preserve">I.  Povećanje ili smanjenje novčanih tokova prije promjena u radnom kapitalu
    </t>
    </r>
    <r>
      <rPr>
        <sz val="9"/>
        <rFont val="Arial"/>
        <family val="2"/>
        <charset val="238"/>
      </rPr>
      <t>(AOP 001+002)</t>
    </r>
  </si>
  <si>
    <t xml:space="preserve"> h) Ostala usklađenja za nenovčane transakcije i nerealizirane dobitke i gubitke</t>
  </si>
  <si>
    <t xml:space="preserve"> b) Dobici i gubici od prodaje i vrijednosna usklađenja dugotrajne materijalne i
      nematerijalne imovine</t>
  </si>
  <si>
    <t xml:space="preserve"> c) Dobici i gubici od prodaje i nerealizirani dobici i gubici i vrijednosno usklađenje
      financijske imovine</t>
  </si>
  <si>
    <t>5. Ostali novčani izdaci od financijskih aktivnosti</t>
  </si>
  <si>
    <r>
      <t xml:space="preserve">VI. Ukupno novčani izdaci od financijskih aktivnosti </t>
    </r>
    <r>
      <rPr>
        <sz val="9"/>
        <rFont val="Arial"/>
        <family val="2"/>
        <charset val="238"/>
      </rPr>
      <t>(AOP 040 do 044)</t>
    </r>
  </si>
  <si>
    <t>Popravak ostale opreme</t>
  </si>
  <si>
    <t>3320</t>
  </si>
  <si>
    <t>3511</t>
  </si>
  <si>
    <t>NKD</t>
  </si>
  <si>
    <t>KONTROLIRAN</t>
  </si>
  <si>
    <t>Proizvodnja ostale vanjske odjeće</t>
  </si>
  <si>
    <t>1414</t>
  </si>
  <si>
    <t>Proizvodnja rublja</t>
  </si>
  <si>
    <t>1419</t>
  </si>
  <si>
    <t>1420</t>
  </si>
  <si>
    <t>Vođinci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</si>
  <si>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</si>
  <si>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</si>
  <si>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</si>
  <si>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</si>
  <si>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</si>
  <si>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</si>
  <si>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</si>
  <si>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</si>
  <si>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</si>
  <si>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</si>
  <si>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</si>
  <si>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</si>
  <si>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</si>
  <si>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</si>
  <si>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</si>
  <si>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</si>
  <si>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</si>
  <si>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</si>
  <si>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</si>
  <si>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</si>
  <si>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</si>
  <si>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</si>
  <si>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</si>
  <si>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</si>
  <si>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</si>
  <si>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</si>
  <si>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</si>
  <si>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</si>
  <si>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 xml:space="preserve"> V. REZERVE FER VRIJEDNOSTI I OSTALO (AOP 078 do 082)</t>
  </si>
  <si>
    <t xml:space="preserve">     4. Ostale rezerve fer vrijednosti</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</si>
  <si>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</si>
  <si>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</si>
  <si>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</si>
  <si>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</si>
  <si>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</si>
  <si>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I. POSLOVNI PRIHODI </t>
    </r>
    <r>
      <rPr>
        <sz val="9"/>
        <color indexed="62"/>
        <rFont val="Arial"/>
        <family val="2"/>
        <charset val="238"/>
      </rPr>
      <t>(AOP 128 do 132)</t>
    </r>
  </si>
  <si>
    <r>
      <t xml:space="preserve">II. POSLOVNI RASHODI </t>
    </r>
    <r>
      <rPr>
        <sz val="9"/>
        <color indexed="62"/>
        <rFont val="Arial"/>
        <family val="2"/>
        <charset val="238"/>
      </rPr>
      <t>(AOP 134+135+139+143 do 145+148+155)</t>
    </r>
  </si>
  <si>
    <t xml:space="preserve">    2. Materijalni troškovi (AOP 136 do 138)</t>
  </si>
  <si>
    <t xml:space="preserve">   3. Troškovi osoblja (AOP 140 do 142)</t>
  </si>
  <si>
    <t xml:space="preserve">   6. Vrijednosna usklađenja (AOP 146+147)</t>
  </si>
  <si>
    <t xml:space="preserve">   7. Rezerviranja (AOP 149 do 154)</t>
  </si>
  <si>
    <r>
      <t xml:space="preserve">III. FINANCIJSKI PRIHODI </t>
    </r>
    <r>
      <rPr>
        <sz val="9"/>
        <color indexed="62"/>
        <rFont val="Arial"/>
        <family val="2"/>
        <charset val="238"/>
      </rPr>
      <t>(AOP 157 do 166)</t>
    </r>
  </si>
  <si>
    <r>
      <t xml:space="preserve">IV. FINANCIJSKI RASHODI </t>
    </r>
    <r>
      <rPr>
        <sz val="9"/>
        <color indexed="62"/>
        <rFont val="Arial"/>
        <family val="2"/>
        <charset val="238"/>
      </rPr>
      <t>(AOP 168 do 174)</t>
    </r>
  </si>
  <si>
    <r>
      <t xml:space="preserve">IX.   UKUPNI PRIHODI </t>
    </r>
    <r>
      <rPr>
        <sz val="9"/>
        <color indexed="62"/>
        <rFont val="Arial"/>
        <family val="2"/>
        <charset val="238"/>
      </rPr>
      <t>(AOP 127+156+175 + 176)</t>
    </r>
  </si>
  <si>
    <r>
      <t xml:space="preserve">X.    UKUPNI RASHODI </t>
    </r>
    <r>
      <rPr>
        <sz val="9"/>
        <color indexed="62"/>
        <rFont val="Arial"/>
        <family val="2"/>
        <charset val="238"/>
      </rPr>
      <t>(AOP 133+167+177 + 178)</t>
    </r>
  </si>
  <si>
    <r>
      <t xml:space="preserve">XI.   DOBIT ILI GUBITAK PRIJE OPOREZIVANJA </t>
    </r>
    <r>
      <rPr>
        <sz val="9"/>
        <color indexed="62"/>
        <rFont val="Arial"/>
        <family val="2"/>
        <charset val="238"/>
      </rPr>
      <t>(AOP 179-180)</t>
    </r>
  </si>
  <si>
    <t xml:space="preserve">   1. Dobit prije oporezivanja (AOP 179-180)</t>
  </si>
  <si>
    <t xml:space="preserve">   2. Gubitak prije oporezivanja (AOP 180-179)</t>
  </si>
  <si>
    <r>
      <t xml:space="preserve">XIII. DOBIT ILI GUBITAK RAZDOBLJA </t>
    </r>
    <r>
      <rPr>
        <sz val="9"/>
        <color indexed="62"/>
        <rFont val="Arial"/>
        <family val="2"/>
        <charset val="238"/>
      </rPr>
      <t>(AOP 181-184)</t>
    </r>
  </si>
  <si>
    <t xml:space="preserve">  1. Dobit razdoblja (AOP 181-184)</t>
  </si>
  <si>
    <t xml:space="preserve">  2. Gubitak razdoblja (AOP 184-181)</t>
  </si>
  <si>
    <r>
      <t>XIV. DOBIT ILI GUBITAK PREKINUTOG POSLOVANJA PRIJE
        OPOREZIVANJA</t>
    </r>
    <r>
      <rPr>
        <sz val="9"/>
        <color indexed="62"/>
        <rFont val="Arial"/>
        <family val="2"/>
        <charset val="238"/>
      </rPr>
      <t xml:space="preserve"> (AOP 189-190)</t>
    </r>
  </si>
  <si>
    <t xml:space="preserve"> 1. Dobit prekinutog poslovanja za razdoblje (AOP 188-191)</t>
  </si>
  <si>
    <t xml:space="preserve"> 2. Gubitak prekinutog poslovanja za razdoblje (AOP 191-188)</t>
  </si>
  <si>
    <r>
      <t xml:space="preserve">XVI. DOBIT ILI GUBITAK PRIJE OPOREZIVANJA </t>
    </r>
    <r>
      <rPr>
        <sz val="9"/>
        <color indexed="62"/>
        <rFont val="Arial"/>
        <family val="2"/>
        <charset val="238"/>
      </rPr>
      <t>(AOP 181+188)</t>
    </r>
  </si>
  <si>
    <t xml:space="preserve"> 1. Dobit prije oporezivanja (AOP 194)</t>
  </si>
  <si>
    <t xml:space="preserve"> 2. Gubitak prije oporezivanja (AOP 194)</t>
  </si>
  <si>
    <r>
      <t xml:space="preserve">XVII. POREZ NA DOBIT </t>
    </r>
    <r>
      <rPr>
        <sz val="9"/>
        <color indexed="62"/>
        <rFont val="Arial"/>
        <family val="2"/>
        <charset val="238"/>
      </rPr>
      <t>(AOP 184+191)</t>
    </r>
  </si>
  <si>
    <r>
      <t xml:space="preserve">XVIII. DOBIT ILI GUBITAK RAZDOBLJA </t>
    </r>
    <r>
      <rPr>
        <sz val="9"/>
        <color indexed="62"/>
        <rFont val="Arial"/>
        <family val="2"/>
        <charset val="238"/>
      </rPr>
      <t>(AOP 194-197)</t>
    </r>
  </si>
  <si>
    <t xml:space="preserve"> 1. Dobit razdoblja (AOP 194-197)</t>
  </si>
  <si>
    <t xml:space="preserve"> 2. Gubitak razdoblja (AOP 197-194)</t>
  </si>
  <si>
    <r>
      <t xml:space="preserve">XIX. DOBIT ILI GUBITAK RAZDOBLJA </t>
    </r>
    <r>
      <rPr>
        <sz val="9"/>
        <color indexed="18"/>
        <rFont val="Arial"/>
        <family val="2"/>
        <charset val="238"/>
      </rPr>
      <t>(AOP 202+203)</t>
    </r>
  </si>
  <si>
    <t xml:space="preserve">   I. Dobit ili gubitak razdoblja</t>
  </si>
  <si>
    <t xml:space="preserve">     1. Promjene revalorizacijskih rezervi dugotrajne materijalne i
         nematerijalne imovine</t>
  </si>
  <si>
    <t xml:space="preserve">     2. Dobitak ili gubitak s osnove naknadnog vrednovanja vlasničkih
         vrijednosnih papira po fer vrijednosti kroz ostalu sveobuhvatnu dobit </t>
  </si>
  <si>
    <t>Stavka Dobit poslovne godine (AOP 087) i Gubitak poslovne godine (AOP 088) ne mogu biti istovremeno popunjene u koloni prethodne ili tekuće godine.</t>
  </si>
  <si>
    <t>4.0.3.</t>
  </si>
  <si>
    <t>U Bilanci samo AOP oznake 067, 069 do 083, 086 i 089 mogu biti negativne. Kontrola javlja pogrešku ako je bilo koja druga AOP oznaka osim ovih negativna.</t>
  </si>
  <si>
    <t>U Računu dobiti i gubitka samo AOP oznake 134, 145 do 154, 173, 181, 184, 185, 188, 191, 194, 197, 198, 201 do 227  mogu biti negativne. Kontrola javlja pogrešku ako je bilo koja druga AOP oznaka negativna.</t>
  </si>
  <si>
    <t>+</t>
  </si>
  <si>
    <t>U Izvještaju o novčanim tokovima po indirektnoj metodi AOP oznake  006, 018, 028 do 030, 032, 040 do 045  mogu biti nula ili negativne. Kontrola javlja pogrešku ako je u neku od ovih AOP oznaka upisana pozitivna vrijednost.</t>
  </si>
  <si>
    <t>U Izvještaju o novčanim tokovima po direktnoj metodi AOP oznake 001 do 006, 015 do 021, 029 do 033, 043 i 044 mogu biti nula ili pozitivne. Kontrola će javiti pogrešku ako je u neku od ovih AOP oznaka upisan negativan podatak.</t>
  </si>
  <si>
    <t>U Izvještaju o novčanim tokovima po direktnoj metodi AOP oznake 007 do 013, 022 do 024, 026, 027 i 034 do 039 mogu biti nula ili negativne. Kontrola će javiti pogrešku ako je u neku od ovih AOP oznaka upisan pozitivan podatak.</t>
  </si>
  <si>
    <t>AOP oznaka 224 u obrascu Račun dobiti i gubitka mora biti jednaka AOP oznaci 225 u konsolidiranom izvještaju obveznika primjene MSFI-a, uz dopušteno odstupanje od 1 kn zbog zaokruživanja iznosa.</t>
  </si>
  <si>
    <t>U konsolidiranom izvještaju svi obveznici moraju imati popunjenu AOP oznaku 201 (a obveznici primjene MSFI standarda i AOP 225)  u koloni svake godine u kojoj je poslovni subjekt poslovao (broj mjeseci poslovanja veći od nula).</t>
  </si>
  <si>
    <t>Ako je popunjen izvještaj o novčanim tokovima po indirektnoj metodi tada AOP oznaka 001 mora biti jednaka AOP oznaci 181 u Računu dobiti i gubitka, a AOP oznaka 003 mora biti jednaka AOP oznaci 143 u Računu dobiti i gubitka. Dopuštena je razlika od 1 kn zbog zaokruživanja. Kontrola javlja pogrešku ako je razlika u bilo kojoj koloni veća od 1.</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</si>
  <si>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</si>
  <si>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</si>
  <si>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</si>
  <si>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</si>
  <si>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</si>
  <si>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</si>
  <si>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Kontrola provjerava da li je za ovisna društva pod kontrolom matice izvan RH (šifra autonomnosti 3 ili 6) upisana postojeća šifra zemlje sjedišta nadređenog društva. Isto tako kontrola javlja pogrešku ako je šifra autonomnosti drugačija od 3 ili 6, a upisana je šifra zemlje sjedišta nadređenog društva. </t>
  </si>
  <si>
    <t>Matični broj nadređenog matičnog društva:</t>
  </si>
  <si>
    <t>Zemlja sjedišta nadređenog matičnog društva:</t>
  </si>
  <si>
    <t>Pogreška signalizira da adresa e-pošte obveznika nije popunjena ili je pogrešno popunjena, a to znači da sadrži razmak ili neki specijalni znak koji adresa e-pošte ne bi smjela sadržavati. U polje adrese e-pošte upišite samo jednu adresu.</t>
  </si>
  <si>
    <t>Kontrola uspoređuje vrstu subjekta u zaglavlju referentne stranice i šifru autonomnosti. Samo trgovačka društva mogu imati autonomnost različitu od 10. Obrtnici, slobodna zanimanja, zadruge, ustanove i ostali obveznici poreza na dobit mogu imati samo šifru autonomnosti 10. Ako ova kontrola javlja pogrešku pogrešno je upisana vrstu subjekta ili šifra autonomnosti.</t>
  </si>
  <si>
    <t>Ova kontrola javlja pogrešku ako je izvještaj konsolidiran, a upisan je oznaka autonomnosti uz koju se ne popunjava konsolidirani izvještaj (obveznik nije matično društvo u grupi).</t>
  </si>
  <si>
    <t xml:space="preserve">  7. Promjene revalorizacijskih rezervi dugotrajne materijalne i 
      nematerijalne imovine</t>
  </si>
  <si>
    <t xml:space="preserve">  8. Dobitak ili gubitak s osnove naknadnog vrednovanja financijske
      imovine prema fer vrijednosti kroz ostalu sveobuhvatnu dobit
      (raspoloživa za prodaju)</t>
  </si>
  <si>
    <t xml:space="preserve">  9. Dobitak ili gubitak s osnove učinkovite zaštite novčanog toka</t>
  </si>
  <si>
    <t>11. Udio u ostaloj sveobuhvatnoj dobiti/gubitku društava 
       povezanih sudjelujućim interesom</t>
  </si>
  <si>
    <t>15. Smanjenje temeljnog (upisanog) kapitala (osim u postupku
       predstečajne nagodbe i nastalog reinvestiranjem dobiti)</t>
  </si>
  <si>
    <t>17. Smanjenje temeljnog (upisanog) kapitala nastalog 
       reinvestiranjem dobiti</t>
  </si>
  <si>
    <t>III. TRANSAKCIJE S VLASNICIMA PRETHODNOG RAZDOBLJA
      PRIZNATE DIREKTNO U KAPITALU (AOP 15 do 23)</t>
  </si>
  <si>
    <t xml:space="preserve">  1. Stanje na prvi dan tekućeg razdoblja</t>
  </si>
  <si>
    <t xml:space="preserve">  4. Stanje na prvi dan tekućeg razdoblja (AOP 28 do 30)</t>
  </si>
  <si>
    <t xml:space="preserve">  7. Promjene revalorizacijskih rezervi dugotrajne materijalne i
      nematerijalne imovine</t>
  </si>
  <si>
    <t>11. Udio u ostaloj sveobuhvatnoj dobiti/gubitku društava
       povezanih sudjelujućim interesom</t>
  </si>
  <si>
    <t>16. Smanjenje temeljnog (upisanog) kapitala u postupku
       predstečajne nagodbe</t>
  </si>
  <si>
    <t>17. Smanjenje temeljnog (upisanog) kapitala nastalog
       reinvestiranjem dobiti</t>
  </si>
  <si>
    <t>19 (4 do 7 - 8
 + 9 do 18)</t>
  </si>
  <si>
    <t>21 (19+20)</t>
  </si>
  <si>
    <t>16. Smanjenje temeljnog (upisanog) kapitala u postupku 
       predstečajne nagodbe</t>
  </si>
  <si>
    <r>
      <t xml:space="preserve">F) NOVAC I NOVČANI EKVIVALENTI NA KRAJU RAZDOBLJA </t>
    </r>
    <r>
      <rPr>
        <sz val="9"/>
        <color indexed="18"/>
        <rFont val="Arial"/>
        <family val="2"/>
        <charset val="238"/>
      </rPr>
      <t>(AOP 048+049)</t>
    </r>
  </si>
  <si>
    <r>
      <t xml:space="preserve">D) NETO POVEĆANJE ILI SMANJENJE NOVČANNIH TOKOVA </t>
    </r>
    <r>
      <rPr>
        <sz val="9"/>
        <color indexed="18"/>
        <rFont val="Arial"/>
        <family val="2"/>
        <charset val="238"/>
      </rPr>
      <t>(AOP 020+034+046+047)</t>
    </r>
  </si>
  <si>
    <t>1. Novčani izdaci za otplatu glavnice kredita, pozajmica i drugih posudbi i dužničkih
     financijskih instrumenata</t>
  </si>
  <si>
    <t>4. Novčani izdaci za otkup vlastitih dionica i smanjenje temeljnog (upisanog) kapitala</t>
  </si>
  <si>
    <t>Ruanda</t>
  </si>
  <si>
    <t>Sveti Bartolomej</t>
  </si>
  <si>
    <t>Sveta Helena, Ascension i Tristan da Cunha</t>
  </si>
  <si>
    <t>Sveti Kristofor i Nevis</t>
  </si>
  <si>
    <t>Anguilla</t>
  </si>
  <si>
    <t>Sveta Lucija</t>
  </si>
  <si>
    <t>Sveti Martin</t>
  </si>
  <si>
    <t>Sveti Petar i Mikelon</t>
  </si>
  <si>
    <t>Sveti Vincent i Grenadini</t>
  </si>
  <si>
    <t>San Marino</t>
  </si>
  <si>
    <t>Sveti Toma i Prinsipe</t>
  </si>
  <si>
    <t>Saudijska Arabija</t>
  </si>
  <si>
    <t>Senegal</t>
  </si>
  <si>
    <t>Srbija</t>
  </si>
  <si>
    <t>Sejšeli</t>
  </si>
  <si>
    <t>Sijera Leone</t>
  </si>
  <si>
    <t>Singapur</t>
  </si>
  <si>
    <t>Slovačka</t>
  </si>
  <si>
    <t>Vijetnam</t>
  </si>
  <si>
    <t>Slovenija</t>
  </si>
  <si>
    <t>Somalija</t>
  </si>
  <si>
    <t>Južnoafrička Republika</t>
  </si>
  <si>
    <t>Zimbabve</t>
  </si>
  <si>
    <t>Španjolska</t>
  </si>
  <si>
    <t>Južni Sudan</t>
  </si>
  <si>
    <t>Sudan</t>
  </si>
  <si>
    <t>Zapadna Sahara</t>
  </si>
  <si>
    <t>Surinam</t>
  </si>
  <si>
    <t>Svalbard i Jan Mayen</t>
  </si>
  <si>
    <t>Svazi</t>
  </si>
  <si>
    <t>Švedska</t>
  </si>
  <si>
    <t>Švicarska</t>
  </si>
  <si>
    <t>Sirija</t>
  </si>
  <si>
    <t>Tadžikistan</t>
  </si>
  <si>
    <t>Tajland</t>
  </si>
  <si>
    <t>Togo</t>
  </si>
  <si>
    <t>Tokelau</t>
  </si>
  <si>
    <t>Tonga</t>
  </si>
  <si>
    <t>Trinidad i Tobago</t>
  </si>
  <si>
    <t>Ujedinjeni Arapski Emirati</t>
  </si>
  <si>
    <t>Tunis</t>
  </si>
  <si>
    <t>Turska</t>
  </si>
  <si>
    <t>Turkmenistan</t>
  </si>
  <si>
    <t>Trgovina na malo računalima, periferni...</t>
  </si>
  <si>
    <t>Trgovina na malo telekomunikacijskom o...</t>
  </si>
  <si>
    <t>DODATAK RDG-u (popunjava poduzetnik koji sastavlja konsolidirani godišnji financijski izvještaj)</t>
  </si>
  <si>
    <t>DATUMOD</t>
  </si>
  <si>
    <t>DATUMDO</t>
  </si>
  <si>
    <t>Mali Lošinj</t>
  </si>
  <si>
    <t>2420</t>
  </si>
  <si>
    <t>Proizvodnja čeličnih cijevi i pribora</t>
  </si>
  <si>
    <t>2431</t>
  </si>
  <si>
    <t>Hladno vučenje šipki</t>
  </si>
  <si>
    <t>2432</t>
  </si>
  <si>
    <t>Hladno valjanje uskih vrpci</t>
  </si>
  <si>
    <t>2433</t>
  </si>
  <si>
    <t xml:space="preserve">Hladno oblikovanje i profiliranje </t>
  </si>
  <si>
    <t>2434</t>
  </si>
  <si>
    <t>Hladno vučenje žice</t>
  </si>
  <si>
    <t>2441</t>
  </si>
  <si>
    <t>Proizvodnja plemenitih metala</t>
  </si>
  <si>
    <t>2442</t>
  </si>
  <si>
    <t>Proizvodnja aluminija</t>
  </si>
  <si>
    <t>2443</t>
  </si>
  <si>
    <t>Proizvodnja olova, cinka i kositra</t>
  </si>
  <si>
    <t>2444</t>
  </si>
  <si>
    <t>Proizvodnja bakra</t>
  </si>
  <si>
    <t>2445</t>
  </si>
  <si>
    <t>Proizvodnja ostalih obojenih metala</t>
  </si>
  <si>
    <t>2446</t>
  </si>
  <si>
    <t>Obrada nuklearnoga goriva</t>
  </si>
  <si>
    <t>2451</t>
  </si>
  <si>
    <t>Lijevanje željeza</t>
  </si>
  <si>
    <t>2452</t>
  </si>
  <si>
    <t>4759</t>
  </si>
  <si>
    <t>8219</t>
  </si>
  <si>
    <t>8220</t>
  </si>
  <si>
    <t>Djelatnosti pozivnih centara</t>
  </si>
  <si>
    <t>8230</t>
  </si>
  <si>
    <t>8291</t>
  </si>
  <si>
    <t>4763</t>
  </si>
  <si>
    <t>Karojba</t>
  </si>
  <si>
    <t>Prgomet</t>
  </si>
  <si>
    <t>Žminj</t>
  </si>
  <si>
    <t>Proizvodnja škroba i škrobnih proizvoda</t>
  </si>
  <si>
    <t>1071</t>
  </si>
  <si>
    <t>1072</t>
  </si>
  <si>
    <r>
      <t xml:space="preserve"> - ako je bilo što upisano u konsolidirana polja u kolonu </t>
    </r>
    <r>
      <rPr>
        <b/>
        <sz val="8"/>
        <rFont val="Arial"/>
        <family val="2"/>
        <charset val="238"/>
      </rPr>
      <t>prethodne</t>
    </r>
    <r>
      <rPr>
        <sz val="8"/>
        <rFont val="Arial"/>
        <family val="2"/>
        <charset val="238"/>
      </rPr>
      <t xml:space="preserve"> godine 1, u suprotnom nula</t>
    </r>
  </si>
  <si>
    <t>Veliki poduzetnici su obveznici primjene MSFI-a, ne mogu odabrati primjenu HSFI-a na Referentnoj stranici, osim ako je konsolidirani izještaj, tada i za izvještaj velike grupe može označiti i HSFI.</t>
  </si>
  <si>
    <t>(prethodna godina)</t>
  </si>
  <si>
    <t>(tekuća godina)</t>
  </si>
  <si>
    <t xml:space="preserve">13. Prihodi od prodaje s poduzetnicima unutar grupe, rezidentima RH </t>
  </si>
  <si>
    <t>14. Prihod od industrijskih djelatnosti</t>
  </si>
  <si>
    <t xml:space="preserve">27. Kapitalizirana proizvodnja za vlastite potrebe </t>
  </si>
  <si>
    <t xml:space="preserve">  48.1. u tome: otpremnine</t>
  </si>
  <si>
    <t>3.0.1.</t>
  </si>
  <si>
    <t>Ispravke izgleda obrazaca: OIB se sa Referentne stranice prenosi na sve ostale radne listove pojedinačnih obrazaca, omogućen je odabir i oznake vlasništva 11, omogućen je i upis početnog datuma razdoblja prije 1.1.2016 (zbog obveznika koji predaju vrstu izvještaja 11 u svrhu javne objave),  korigirane su i kontrole 42 i 43 (pravila vrijede samo za oznakuk autonomnosti 1, ne više i za 10), kontrola 56 (oznaka primjene MSFI-a obvezna samo za velike pojedinačne, ne više i konsolidirane izvještaje), izvještaji koji imaju udio stranog kapitala veći od nule neće više javljati pogrešku kod učitavanja.</t>
  </si>
  <si>
    <t>2711</t>
  </si>
  <si>
    <t>2712</t>
  </si>
  <si>
    <t>2720</t>
  </si>
  <si>
    <t>Proizvodnja baterija i akumulatora</t>
  </si>
  <si>
    <t>2731</t>
  </si>
  <si>
    <t>Proizvodnja kablova od optičkih vlakana</t>
  </si>
  <si>
    <t>Trgovina na veliko alatnim strojevima</t>
  </si>
  <si>
    <t>4663</t>
  </si>
  <si>
    <t>4664</t>
  </si>
  <si>
    <t>1081</t>
  </si>
  <si>
    <t>Proizvodnja šećera</t>
  </si>
  <si>
    <t>1082</t>
  </si>
  <si>
    <t>1083</t>
  </si>
  <si>
    <t>Prerada čaja i kave</t>
  </si>
  <si>
    <t>1084</t>
  </si>
  <si>
    <t>1085</t>
  </si>
  <si>
    <t>Proizvodnja gotove hrane i jela</t>
  </si>
  <si>
    <t>Sveti Križ Začretje</t>
  </si>
  <si>
    <t>Donji Andrijevci</t>
  </si>
  <si>
    <t>Maruševec</t>
  </si>
  <si>
    <t>Sveti Lovreč</t>
  </si>
  <si>
    <t>Donji Kraljevec</t>
  </si>
  <si>
    <t>Metković</t>
  </si>
  <si>
    <t>Sveti Petar u Šumi</t>
  </si>
  <si>
    <t>Mihovljan</t>
  </si>
  <si>
    <t>Svetvinčenat</t>
  </si>
  <si>
    <t>Donji Miholjac</t>
  </si>
  <si>
    <t>4612</t>
  </si>
  <si>
    <t>4613</t>
  </si>
  <si>
    <t>4614</t>
  </si>
  <si>
    <t xml:space="preserve">    6. Predujmovi za materijalnu imovinu</t>
  </si>
  <si>
    <t xml:space="preserve">    7. Materijalna imovina u pripremi</t>
  </si>
  <si>
    <t xml:space="preserve">    8. Ostala materijalna imovina</t>
  </si>
  <si>
    <t xml:space="preserve">    9. Ulaganje u nekretnine</t>
  </si>
  <si>
    <t>VP</t>
  </si>
  <si>
    <t>777</t>
  </si>
  <si>
    <t>VER</t>
  </si>
  <si>
    <t>4332</t>
  </si>
  <si>
    <t>Ugradnja stolarije</t>
  </si>
  <si>
    <t>4333</t>
  </si>
  <si>
    <t>Postavljanje podnih i zidnih obloga</t>
  </si>
  <si>
    <t>4334</t>
  </si>
  <si>
    <t>Soboslikarski i staklarski radovi</t>
  </si>
  <si>
    <t>4339</t>
  </si>
  <si>
    <t>Ostali završni građevinski radovi</t>
  </si>
  <si>
    <t>4391</t>
  </si>
  <si>
    <t>Radovi na krovištu</t>
  </si>
  <si>
    <t>4399</t>
  </si>
  <si>
    <t>4511</t>
  </si>
  <si>
    <t xml:space="preserve"> 2. Pripisana manjinskom (nekontrolirajućem) interesu</t>
  </si>
  <si>
    <t>Nigerija</t>
  </si>
  <si>
    <t>Niue</t>
  </si>
  <si>
    <t>Otok Norfolk</t>
  </si>
  <si>
    <t>Norveška</t>
  </si>
  <si>
    <t>Sjeverni Marijanski Otoci</t>
  </si>
  <si>
    <t>Ujedinjene Države Manjih Pacifičkih Otoka</t>
  </si>
  <si>
    <t>Mikronezija, Savezne Države</t>
  </si>
  <si>
    <t>Maršalovi Otoci</t>
  </si>
  <si>
    <t>Palau</t>
  </si>
  <si>
    <t>Pakistan</t>
  </si>
  <si>
    <t>Panama</t>
  </si>
  <si>
    <t>Papua Nova Gvineja</t>
  </si>
  <si>
    <t>Paragvaj</t>
  </si>
  <si>
    <t>Peru</t>
  </si>
  <si>
    <t>Filipini</t>
  </si>
  <si>
    <t>Pitcairn</t>
  </si>
  <si>
    <t>Poljska</t>
  </si>
  <si>
    <t>Portugal</t>
  </si>
  <si>
    <t>Gvineja Bisau</t>
  </si>
  <si>
    <t>Timor Leste</t>
  </si>
  <si>
    <t>Portoriko</t>
  </si>
  <si>
    <t>Katar</t>
  </si>
  <si>
    <t>Réunion</t>
  </si>
  <si>
    <t>Rumunjska</t>
  </si>
  <si>
    <t>Rusija</t>
  </si>
  <si>
    <t>POSTA</t>
  </si>
  <si>
    <t>MJESTO</t>
  </si>
  <si>
    <t>ADRESA</t>
  </si>
  <si>
    <t>DJELAT</t>
  </si>
  <si>
    <t>OPCINA</t>
  </si>
  <si>
    <t>ZUPANIJA</t>
  </si>
  <si>
    <t>VRSTA_IZV</t>
  </si>
  <si>
    <t>OPIS</t>
  </si>
  <si>
    <t>VRIJEDNOST</t>
  </si>
  <si>
    <t>2030</t>
  </si>
  <si>
    <t>2041</t>
  </si>
  <si>
    <t>2042</t>
  </si>
  <si>
    <t>NT_I</t>
  </si>
  <si>
    <t>NT_D</t>
  </si>
  <si>
    <t>Šifra NKD-a:</t>
  </si>
  <si>
    <t>Peteranec</t>
  </si>
  <si>
    <t>Višnjan</t>
  </si>
  <si>
    <t>Tehničko ispitivanje i analiza</t>
  </si>
  <si>
    <t>7211</t>
  </si>
  <si>
    <t>7219</t>
  </si>
  <si>
    <t>7220</t>
  </si>
  <si>
    <t>7311</t>
  </si>
  <si>
    <t>7312</t>
  </si>
  <si>
    <t>0142</t>
  </si>
  <si>
    <t>Uzgoj ostalih goveda i bivola</t>
  </si>
  <si>
    <t>0143</t>
  </si>
  <si>
    <t>Uzgoj konja, magaraca, mula i mazgi</t>
  </si>
  <si>
    <t>0144</t>
  </si>
  <si>
    <t>Uzgoj deva i ljama</t>
  </si>
  <si>
    <t>0145</t>
  </si>
  <si>
    <t>Uzgoj ovaca i koza</t>
  </si>
  <si>
    <t>0146</t>
  </si>
  <si>
    <t>Uzgoj svinja</t>
  </si>
  <si>
    <t>0147</t>
  </si>
  <si>
    <t>Uzgoj peradi</t>
  </si>
  <si>
    <t>0149</t>
  </si>
  <si>
    <t>Uzgoj ostalih životinja</t>
  </si>
  <si>
    <t>0150</t>
  </si>
  <si>
    <t>Mješovita proizvodnja</t>
  </si>
  <si>
    <t>0161</t>
  </si>
  <si>
    <t>IV. NOVAC U BANCI I BLAGAJNI</t>
  </si>
  <si>
    <t>Smokvica</t>
  </si>
  <si>
    <t>Cerna</t>
  </si>
  <si>
    <t>Lipik</t>
  </si>
  <si>
    <t>Proizvodnja keramičkih pločica i ploča</t>
  </si>
  <si>
    <t>2332</t>
  </si>
  <si>
    <t>2341</t>
  </si>
  <si>
    <t>Lijevanje čelika</t>
  </si>
  <si>
    <t>2453</t>
  </si>
  <si>
    <t>Lijevanje lakih metala</t>
  </si>
  <si>
    <t>2454</t>
  </si>
  <si>
    <t>Matični broj (MB):</t>
  </si>
  <si>
    <t>Martijanec</t>
  </si>
  <si>
    <t>Škabrnja</t>
  </si>
  <si>
    <t>Hum na Sutli</t>
  </si>
  <si>
    <t>Novigrad-Cittanova</t>
  </si>
  <si>
    <t>Novigrad (kraj Zadra)</t>
  </si>
  <si>
    <t>Sveta Nedelja (zagrebačka)</t>
  </si>
  <si>
    <t>Sveta Nedelja (istarska)</t>
  </si>
  <si>
    <t>Privlaka (kraj Zadra)</t>
  </si>
  <si>
    <t>Privlaka (kraj Vinkovaca)</t>
  </si>
  <si>
    <t>1320</t>
  </si>
  <si>
    <t>Proizvodnja strojeva za metalurgiju</t>
  </si>
  <si>
    <t>2892</t>
  </si>
  <si>
    <t>2893</t>
  </si>
  <si>
    <t>KTR_LISTAMB</t>
  </si>
  <si>
    <t>0112</t>
  </si>
  <si>
    <t>Uzgoj riže</t>
  </si>
  <si>
    <t>0113</t>
  </si>
  <si>
    <t>0114</t>
  </si>
  <si>
    <t>Ostale djelatnosti socijalne skrbi sa ...</t>
  </si>
  <si>
    <r>
      <t xml:space="preserve">IV. Ukupno novčani izdaci od investicijskih aktivnosti </t>
    </r>
    <r>
      <rPr>
        <sz val="9"/>
        <rFont val="Arial"/>
        <family val="2"/>
        <charset val="238"/>
      </rPr>
      <t>(AOP 028 do 032)</t>
    </r>
  </si>
  <si>
    <t>Novčani tokovi od financijskih aktivnosti</t>
  </si>
  <si>
    <t>1. Nerealizirane tečajne razlike po novcu i novčanim ekvivalentima</t>
  </si>
  <si>
    <t>E) NOVAC I NOVČANI EKVIVALENTI NA POČETKU RAZDOBLJA</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</si>
  <si>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</si>
  <si>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</si>
  <si>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</si>
  <si>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</si>
  <si>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t>39. Troškovi usluga investicijskog održavanja</t>
  </si>
  <si>
    <t>40. Troškovi usluga dugoročnog i operativnog leasinga materijalne imovine</t>
  </si>
  <si>
    <t>42. Izdaci za rad ostvaren preko studentskih i učeničkih servisa</t>
  </si>
  <si>
    <t>43. Troškovi agencijskih radnika</t>
  </si>
  <si>
    <t>44. Premije osiguranja (bruto)</t>
  </si>
  <si>
    <t>45. Porezi koji ne ovise o dobitku i pristojbe</t>
  </si>
  <si>
    <t>46. Stipendije</t>
  </si>
  <si>
    <t>47. Nadoknade članovima uprave</t>
  </si>
  <si>
    <t>Postavke Reginal Settingsa na ovom računalu su pogrešne. Ako je ova kontrola pogrešna znači da postavke na računalu nisu primjerene hrvatskom pravopisu. Prema hrvatskom pravopisu, tisuće se odvajaju točkom, a decimalna mjesta se odvajaju zarezom. Ova pogreška ne znači da je obrazac matematičke ili logički neispravan, već da zbog postavke ovog računala obrazac neće biti moguće učitati kroz aplikaciju. Potrebno je u Control Panel-u, opcija Regional Settings ili Regional And Language Options postaviti formate brojeva na način da se tisuće odvajaju točkom (digit group symbol), a decimalna mjesta zarezom (decimal symbol). Datoteku snimljenu na računalu sa ovakvim postavkama biti će moguće učitati.</t>
  </si>
  <si>
    <t>Dodatni</t>
  </si>
  <si>
    <t xml:space="preserve">     3. Vlastite dionice i udjeli (odbitna stavka)</t>
  </si>
  <si>
    <t xml:space="preserve">     4. Statutarne rezerve</t>
  </si>
  <si>
    <t xml:space="preserve">     5. Ostale rezerve</t>
  </si>
  <si>
    <t xml:space="preserve">     2. Učinkoviti dio zaštite novčanih tokova</t>
  </si>
  <si>
    <t xml:space="preserve">     3. Učinkoviti dio zaštite neto ulaganja u inozemstvu</t>
  </si>
  <si>
    <t xml:space="preserve">     1. Zadržana dobit</t>
  </si>
  <si>
    <t xml:space="preserve">     2. Preneseni gubitak</t>
  </si>
  <si>
    <t xml:space="preserve">     2. Gubitak poslovne godine</t>
  </si>
  <si>
    <t xml:space="preserve">     4. Rezerviranja za troškove obnavljanja prirodnih bogatstava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</si>
  <si>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</si>
  <si>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</si>
  <si>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</si>
  <si>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</si>
  <si>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</si>
  <si>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</si>
  <si>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</si>
  <si>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</si>
  <si>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</si>
  <si>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</si>
  <si>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</si>
  <si>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</si>
  <si>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</si>
  <si>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</si>
  <si>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</si>
  <si>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</si>
  <si>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</si>
  <si>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</si>
  <si>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</si>
  <si>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</si>
  <si>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</si>
  <si>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</si>
  <si>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</si>
  <si>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</si>
  <si>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</si>
  <si>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</si>
  <si>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</si>
  <si>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</si>
  <si>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</si>
  <si>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</si>
  <si>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</si>
  <si>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</si>
  <si>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</si>
  <si>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</si>
  <si>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</si>
  <si>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</si>
  <si>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</si>
  <si>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</si>
  <si>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</si>
  <si>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</si>
  <si>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</si>
  <si>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</si>
  <si>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</si>
  <si>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</si>
  <si>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</si>
  <si>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</si>
  <si>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</si>
  <si>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</si>
  <si>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</si>
  <si>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</si>
  <si>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E_MAIL</t>
  </si>
  <si>
    <t>WEB</t>
  </si>
  <si>
    <t>KONS</t>
  </si>
  <si>
    <t>REVIZIJA</t>
  </si>
  <si>
    <t>SVRHA</t>
  </si>
  <si>
    <t>VELICINA</t>
  </si>
  <si>
    <t>VLAST</t>
  </si>
  <si>
    <t>KAPITALD</t>
  </si>
  <si>
    <t>KAPITALS</t>
  </si>
  <si>
    <t>ZAPSTANJEP</t>
  </si>
  <si>
    <t>ZAPSTANJET</t>
  </si>
  <si>
    <t>ZAPPROST</t>
  </si>
  <si>
    <t>ZAPPROSD</t>
  </si>
  <si>
    <t>MJPOSLP</t>
  </si>
  <si>
    <t>MJPOSLT</t>
  </si>
  <si>
    <t>PRIPMB1</t>
  </si>
  <si>
    <t>PRIPMB2</t>
  </si>
  <si>
    <t>PRIPMB3</t>
  </si>
  <si>
    <t>STATMB1</t>
  </si>
  <si>
    <t>STATMB2</t>
  </si>
  <si>
    <t>STATMB3</t>
  </si>
  <si>
    <t>MBSERVIS</t>
  </si>
  <si>
    <t>NAZIVSERVIS</t>
  </si>
  <si>
    <t>Trgovina na malo električnim aparatima...</t>
  </si>
  <si>
    <t>Trgovina na malo namještajem, opremom ...</t>
  </si>
  <si>
    <t>Trgovina na malo knjigama u specijaliz...</t>
  </si>
  <si>
    <t>Trgovina na malo novinama, papirnatom ...</t>
  </si>
  <si>
    <t>Poduzetnik je obveznik izrade nefinancijskog izvješća - sastavni je dio izvješća poslovodstva</t>
  </si>
  <si>
    <t>Poduzetnik je obveznik izrade nefinancijskog izvješća - predaje ga kao prilog izvješću poslovodstva</t>
  </si>
  <si>
    <t>Poduzetnik je obveznik izrade nefinancijskog izvješća - kreirano je kao poseban dokument i objavljeno na mrežnoj stranici poduzetnika</t>
  </si>
  <si>
    <t>3.0.4.</t>
  </si>
  <si>
    <t>Trgovina na malo odjećom u specijalizi...</t>
  </si>
  <si>
    <t>Trgovina na malo obućom i proizvodima ...</t>
  </si>
  <si>
    <t>Trgovina na malo medicinskim pripravci...</t>
  </si>
  <si>
    <t>Trgovina na malo kozmetičkim i toaletn...</t>
  </si>
  <si>
    <t>Trgovina na malo cvijećem, sadnicama, ...</t>
  </si>
  <si>
    <t>Trgovina na malo satovima i nakitom u ...</t>
  </si>
  <si>
    <t>Ostala trgovina na malo novom robom u ...</t>
  </si>
  <si>
    <t xml:space="preserve">    5. Ostali poslovni prihodi (izvan grupe)</t>
  </si>
  <si>
    <r>
      <t xml:space="preserve">B) NETO NOVČANI TOKOVI OD INVESTICIJSKIH AKTIVNOSTI </t>
    </r>
    <r>
      <rPr>
        <sz val="9"/>
        <color indexed="18"/>
        <rFont val="Arial"/>
        <family val="2"/>
        <charset val="238"/>
      </rPr>
      <t>(AOP 027+033)</t>
    </r>
  </si>
  <si>
    <t>Pogreška signalizira da je broj mjeseci poslovanja izvan granica dopuštenog ili nije upisan za one kolone podataka koje su popunjene u Bilanci.</t>
  </si>
  <si>
    <t>Izvještaj kojeg ispunjava obveznik u likvidaciji.</t>
  </si>
  <si>
    <t>Kont_OS</t>
  </si>
  <si>
    <t>Kont_TEL</t>
  </si>
  <si>
    <t>Kont_MAIL</t>
  </si>
  <si>
    <t>Revizorsko</t>
  </si>
  <si>
    <t>Proizvodnja strojeva za industriju pap...</t>
  </si>
  <si>
    <t>Proizvodnja ostalih strojeva za posebn...</t>
  </si>
  <si>
    <t>Proizvodnja karoserija za motorna vozi...</t>
  </si>
  <si>
    <t>Proizvodnja električne i elektroničke ...</t>
  </si>
  <si>
    <r>
      <t xml:space="preserve">V. Ukupno novčani primici od financijskih aktivnosti </t>
    </r>
    <r>
      <rPr>
        <sz val="9"/>
        <rFont val="Arial"/>
        <family val="2"/>
        <charset val="238"/>
      </rPr>
      <t>(AOP 035 do 038)</t>
    </r>
  </si>
  <si>
    <r>
      <t xml:space="preserve">III. Ukupno novčani primici od investicijskih aktivnosti </t>
    </r>
    <r>
      <rPr>
        <sz val="9"/>
        <rFont val="Arial"/>
        <family val="2"/>
        <charset val="238"/>
      </rPr>
      <t>(AOP 021 do 026)</t>
    </r>
  </si>
  <si>
    <r>
      <t xml:space="preserve">II. Novac iz poslovanja </t>
    </r>
    <r>
      <rPr>
        <sz val="9"/>
        <rFont val="Arial"/>
        <family val="2"/>
        <charset val="238"/>
      </rPr>
      <t>(AOP 011+012)</t>
    </r>
  </si>
  <si>
    <t>Pogreška signalizira da Oznaka revizije i/ili OIB revizora nisu popunjeni ili su pogrešno popunjeni (ako je izvještaj revidiran mora biti popunjen i OIB revizora, a ako nije revidiran polje OIB revizora mora biti prazan). Ako je predaja samo u statističke svrhe, ne predaje se revidiran izvještaj pa se u oznaku revizije i pored Revizorskog izvješća na popisu dokumentacije obavezno upisuje "NE".</t>
  </si>
  <si>
    <t>Proizvodnja koloranata i pigmenata</t>
  </si>
  <si>
    <t>2013</t>
  </si>
  <si>
    <t>2014</t>
  </si>
  <si>
    <t>2015</t>
  </si>
  <si>
    <t>Proizvodnja gnojiva i dušičnih spojeva</t>
  </si>
  <si>
    <t>2016</t>
  </si>
  <si>
    <t>2017</t>
  </si>
  <si>
    <t>2020</t>
  </si>
  <si>
    <t>Proizvodnja komunikacijske opreme</t>
  </si>
  <si>
    <t>2640</t>
  </si>
  <si>
    <t>2651</t>
  </si>
  <si>
    <t>2652</t>
  </si>
  <si>
    <t xml:space="preserve">Proizvodnja satova </t>
  </si>
  <si>
    <t>NKDOpis</t>
  </si>
  <si>
    <t>DRZAVA_S</t>
  </si>
  <si>
    <t>DRZAVA_T</t>
  </si>
  <si>
    <t>Pogreška signalizira da šifra grada/općine nije upisana ili je pogrešno upisana</t>
  </si>
  <si>
    <t>Pogreška signalizira da šifra djelatnosti nije upisana ili je upisana pogrešna (ili je upisana za vrstu subjekta koji je nema)</t>
  </si>
  <si>
    <t xml:space="preserve">   10. Ostali financijski prihodi</t>
  </si>
  <si>
    <t xml:space="preserve">    1. Rashodi s osnove kamata i slični rashodi s poduzetnicima unutar grupe</t>
  </si>
  <si>
    <t>PREKINUTO POSLOVANJE (popunjava poduzetnik obveznika MSFI-a samo ako ima prekinuto poslovanje)</t>
  </si>
  <si>
    <t xml:space="preserve">        c) Ostali vanjski troškovi </t>
  </si>
  <si>
    <t xml:space="preserve">     9. Nerealizirani dobici (prihodi) od financijske imovine</t>
  </si>
  <si>
    <t xml:space="preserve">     8. Tečajne razlike i ostali financijski prihodi</t>
  </si>
  <si>
    <t xml:space="preserve">     7. Ostali prihodi s osnove kamata</t>
  </si>
  <si>
    <t xml:space="preserve">     6. Prihodi od ostalih dugotrajnih financijskih ulaganja i zajmova</t>
  </si>
  <si>
    <t xml:space="preserve">     4. Ostali prihodi s osnove kamata iz odnosa s poduzetnicima unutar grupe</t>
  </si>
  <si>
    <t>Pogreška signalizira da Matični broj subjekta nije upisan ili je pogrešno označena Vrsta poslovnog subjekta (ako je Trgovački sud registarsko tijelo mora biti upisan u suprotnom polje mora biti prazno)</t>
  </si>
  <si>
    <t>Pogreška signalizira da Naziv poslovnog subjekta nije popunjen ili je pogrešno popunjen</t>
  </si>
  <si>
    <t>Pogreška signalizira da Poštanski broj i/ili mjesto nisu popunjeni ili su pogrešno popunjeni. Broj pošte je zasebno polje i upisuje se tamo, ne smije se upisivati u naziv naselja.</t>
  </si>
  <si>
    <t>TELEFON</t>
  </si>
  <si>
    <t>AUTONOM</t>
  </si>
  <si>
    <t>STANDARD</t>
  </si>
  <si>
    <t>Pogreška signalizira da oznaka primjene MSFI/HSFI, Vrste poslovnog subjekta ili oznaka poslovne aktivnosti nije ispravno popunjena.</t>
  </si>
  <si>
    <t>Pogreška signalizira da adresa (ulica i broj) ili telefon poduzetnika nisu popunjeni ili nisu ispravno popunjeni.</t>
  </si>
  <si>
    <t>OPC_TXT</t>
  </si>
  <si>
    <t>NKD2007</t>
  </si>
  <si>
    <t>Odluka o utvrđivanju godišnjeg financijskog izvještaja</t>
  </si>
  <si>
    <t>Popis dokumentacije</t>
  </si>
  <si>
    <t>ZAGREBAČKA</t>
  </si>
  <si>
    <t>2732</t>
  </si>
  <si>
    <t>2733</t>
  </si>
  <si>
    <t>0000</t>
  </si>
  <si>
    <t>Destiliranje, pročišćavanje i miješanj...</t>
  </si>
  <si>
    <t>HSFI</t>
  </si>
  <si>
    <t>50327992893</t>
  </si>
  <si>
    <t>04314247</t>
  </si>
  <si>
    <t>040338231</t>
  </si>
  <si>
    <t>POSLOVNI SUSTAVI d.o.o. RIJEKA</t>
  </si>
  <si>
    <t>RIJEKA</t>
  </si>
  <si>
    <t>Školjić 15</t>
  </si>
  <si>
    <t>uprava@poslovni-sustavi.hr</t>
  </si>
  <si>
    <t>051/564-446</t>
  </si>
  <si>
    <t>www.poslovni-sustavi.hr</t>
  </si>
  <si>
    <t>ASJA FUĆAK</t>
  </si>
  <si>
    <t>+38551564528</t>
  </si>
  <si>
    <t>asja.fucak@poslovni-sustavi.hr</t>
  </si>
  <si>
    <t>LUČIĆ SILVIJA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</si>
</sst>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5" formatCode="000"/>
    <numFmt numFmtId="190" formatCode="00"/>
  </numFmts>
  <fonts count="72" x14ac:knownFonts="1">
    <font>
      <sz val="10"/>
      <name val="Arial"/>
      <charset val="238"/>
    </font>
    <font>
      <sz val="10"/>
      <name val="Arial"/>
      <charset val="238"/>
    </font>
    <font>
      <sz val="8"/>
      <name val="Arial"/>
      <family val="2"/>
      <charset val="238"/>
    </font>
    <font>
      <sz val="8"/>
      <name val="Arial"/>
      <charset val="238"/>
    </font>
    <font>
      <b/>
      <sz val="9"/>
      <name val="Arial"/>
      <family val="2"/>
      <charset val="238"/>
    </font>
    <font>
      <sz val="9"/>
      <name val="Arial"/>
      <family val="2"/>
      <charset val="238"/>
    </font>
    <font>
      <u/>
      <sz val="10"/>
      <color indexed="12"/>
      <name val="Arial"/>
      <charset val="238"/>
    </font>
    <font>
      <sz val="12"/>
      <color indexed="56"/>
      <name val="Arial Rounded MT Bold"/>
      <family val="2"/>
    </font>
    <font>
      <sz val="7"/>
      <name val="Arial"/>
      <charset val="238"/>
    </font>
    <font>
      <sz val="9"/>
      <color indexed="12"/>
      <name val="Arial"/>
      <family val="2"/>
      <charset val="238"/>
    </font>
    <font>
      <b/>
      <sz val="8"/>
      <color indexed="56"/>
      <name val="Arial"/>
      <family val="2"/>
      <charset val="238"/>
    </font>
    <font>
      <b/>
      <sz val="8"/>
      <name val="Arial"/>
      <family val="2"/>
      <charset val="238"/>
    </font>
    <font>
      <b/>
      <sz val="9"/>
      <color indexed="18"/>
      <name val="Arial"/>
      <family val="2"/>
      <charset val="238"/>
    </font>
    <font>
      <sz val="10"/>
      <color indexed="18"/>
      <name val="Arial"/>
      <family val="2"/>
      <charset val="238"/>
    </font>
    <font>
      <b/>
      <sz val="10"/>
      <color indexed="18"/>
      <name val="Arial"/>
      <family val="2"/>
      <charset val="238"/>
    </font>
    <font>
      <b/>
      <sz val="10"/>
      <name val="Arial"/>
      <family val="2"/>
      <charset val="238"/>
    </font>
    <font>
      <b/>
      <sz val="8"/>
      <color indexed="18"/>
      <name val="Arial"/>
      <family val="2"/>
      <charset val="238"/>
    </font>
    <font>
      <b/>
      <sz val="12"/>
      <color indexed="18"/>
      <name val="Arial"/>
      <family val="2"/>
      <charset val="238"/>
    </font>
    <font>
      <b/>
      <sz val="8"/>
      <color indexed="12"/>
      <name val="Arial"/>
      <family val="2"/>
      <charset val="238"/>
    </font>
    <font>
      <sz val="8"/>
      <color indexed="9"/>
      <name val="Arial"/>
      <family val="2"/>
      <charset val="238"/>
    </font>
    <font>
      <sz val="8"/>
      <color indexed="81"/>
      <name val="Tahoma"/>
      <charset val="238"/>
    </font>
    <font>
      <b/>
      <sz val="8"/>
      <color indexed="81"/>
      <name val="Tahoma"/>
      <charset val="238"/>
    </font>
    <font>
      <sz val="7"/>
      <name val="Arial"/>
      <family val="2"/>
      <charset val="238"/>
    </font>
    <font>
      <sz val="8"/>
      <color indexed="81"/>
      <name val="Tahoma"/>
      <family val="2"/>
      <charset val="238"/>
    </font>
    <font>
      <b/>
      <sz val="8"/>
      <color indexed="22"/>
      <name val="Arial"/>
      <family val="2"/>
      <charset val="238"/>
    </font>
    <font>
      <b/>
      <sz val="7"/>
      <color indexed="22"/>
      <name val="Arial"/>
      <family val="2"/>
      <charset val="238"/>
    </font>
    <font>
      <b/>
      <sz val="10"/>
      <color indexed="9"/>
      <name val="Arial"/>
      <family val="2"/>
      <charset val="238"/>
    </font>
    <font>
      <b/>
      <sz val="14"/>
      <color indexed="56"/>
      <name val="Arial Rounded MT Bold"/>
      <family val="2"/>
    </font>
    <font>
      <sz val="14"/>
      <color indexed="56"/>
      <name val="Arial Black"/>
      <family val="2"/>
      <charset val="238"/>
    </font>
    <font>
      <sz val="10"/>
      <color indexed="22"/>
      <name val="Arial"/>
      <charset val="238"/>
    </font>
    <font>
      <b/>
      <sz val="8"/>
      <color indexed="9"/>
      <name val="Arial"/>
      <family val="2"/>
      <charset val="238"/>
    </font>
    <font>
      <b/>
      <sz val="9"/>
      <color indexed="9"/>
      <name val="Arial"/>
      <family val="2"/>
      <charset val="238"/>
    </font>
    <font>
      <b/>
      <sz val="7"/>
      <color indexed="9"/>
      <name val="Arial"/>
      <family val="2"/>
      <charset val="238"/>
    </font>
    <font>
      <sz val="8"/>
      <color indexed="56"/>
      <name val="Arial"/>
      <family val="2"/>
      <charset val="238"/>
    </font>
    <font>
      <b/>
      <sz val="14"/>
      <name val="Arial"/>
      <family val="2"/>
      <charset val="238"/>
    </font>
    <font>
      <b/>
      <sz val="12"/>
      <color indexed="56"/>
      <name val="Arial Rounded MT Bold"/>
      <family val="2"/>
    </font>
    <font>
      <sz val="12"/>
      <color indexed="56"/>
      <name val="Arial"/>
      <charset val="238"/>
    </font>
    <font>
      <b/>
      <sz val="8"/>
      <color indexed="81"/>
      <name val="Tahoma"/>
      <family val="2"/>
      <charset val="238"/>
    </font>
    <font>
      <sz val="10"/>
      <name val="Arial"/>
      <family val="2"/>
      <charset val="238"/>
    </font>
    <font>
      <b/>
      <sz val="10"/>
      <color indexed="56"/>
      <name val="Arial"/>
      <family val="2"/>
      <charset val="238"/>
    </font>
    <font>
      <sz val="10"/>
      <name val="Arial"/>
      <charset val="238"/>
    </font>
    <font>
      <b/>
      <sz val="9"/>
      <color indexed="62"/>
      <name val="Arial"/>
      <family val="2"/>
      <charset val="238"/>
    </font>
    <font>
      <i/>
      <sz val="9"/>
      <name val="Arial"/>
      <family val="2"/>
      <charset val="238"/>
    </font>
    <font>
      <sz val="9"/>
      <color indexed="18"/>
      <name val="Arial"/>
      <family val="2"/>
      <charset val="238"/>
    </font>
    <font>
      <sz val="9"/>
      <color indexed="62"/>
      <name val="Arial"/>
      <family val="2"/>
      <charset val="238"/>
    </font>
    <font>
      <sz val="8"/>
      <color indexed="23"/>
      <name val="Arial"/>
      <charset val="238"/>
    </font>
    <font>
      <sz val="9"/>
      <color indexed="55"/>
      <name val="Arial"/>
      <family val="2"/>
      <charset val="238"/>
    </font>
    <font>
      <b/>
      <sz val="10"/>
      <color indexed="56"/>
      <name val="Arial Rounded MT Bold"/>
      <family val="2"/>
    </font>
    <font>
      <sz val="10"/>
      <name val="Arial"/>
      <charset val="238"/>
    </font>
    <font>
      <b/>
      <sz val="8"/>
      <color indexed="13"/>
      <name val="Arial"/>
      <family val="2"/>
      <charset val="238"/>
    </font>
    <font>
      <sz val="10"/>
      <color indexed="9"/>
      <name val="Arial"/>
      <charset val="238"/>
    </font>
    <font>
      <sz val="10"/>
      <name val="Arial"/>
      <charset val="238"/>
    </font>
    <font>
      <b/>
      <sz val="9"/>
      <color indexed="81"/>
      <name val="Arial"/>
      <family val="2"/>
      <charset val="238"/>
    </font>
    <font>
      <sz val="9"/>
      <color indexed="81"/>
      <name val="Arial"/>
      <family val="2"/>
      <charset val="238"/>
    </font>
    <font>
      <sz val="12"/>
      <color indexed="18"/>
      <name val="Arial"/>
      <family val="2"/>
      <charset val="238"/>
    </font>
    <font>
      <sz val="12"/>
      <name val="Arial"/>
      <family val="2"/>
      <charset val="238"/>
    </font>
    <font>
      <sz val="8"/>
      <color indexed="18"/>
      <name val="Arial"/>
      <family val="2"/>
      <charset val="238"/>
    </font>
    <font>
      <b/>
      <sz val="8"/>
      <color indexed="10"/>
      <name val="Arial"/>
      <family val="2"/>
      <charset val="238"/>
    </font>
    <font>
      <sz val="8"/>
      <color indexed="10"/>
      <name val="Arial"/>
      <family val="2"/>
      <charset val="238"/>
    </font>
    <font>
      <sz val="8"/>
      <color indexed="12"/>
      <name val="Arial"/>
      <family val="2"/>
      <charset val="238"/>
    </font>
    <font>
      <sz val="8"/>
      <color indexed="50"/>
      <name val="Arial"/>
      <family val="2"/>
      <charset val="238"/>
    </font>
    <font>
      <b/>
      <sz val="10"/>
      <color indexed="10"/>
      <name val="Arial"/>
      <family val="2"/>
      <charset val="238"/>
    </font>
    <font>
      <b/>
      <sz val="10"/>
      <color indexed="12"/>
      <name val="Arial"/>
      <family val="2"/>
      <charset val="238"/>
    </font>
    <font>
      <b/>
      <sz val="10"/>
      <color indexed="48"/>
      <name val="Arial"/>
      <family val="2"/>
      <charset val="238"/>
    </font>
    <font>
      <sz val="9"/>
      <name val="Arial"/>
      <charset val="238"/>
    </font>
    <font>
      <sz val="9"/>
      <color indexed="81"/>
      <name val="Tahoma"/>
      <charset val="1"/>
    </font>
    <font>
      <b/>
      <sz val="9"/>
      <color indexed="81"/>
      <name val="Tahoma"/>
      <charset val="1"/>
    </font>
    <font>
      <sz val="10"/>
      <color indexed="56"/>
      <name val="Arial"/>
      <family val="2"/>
      <charset val="238"/>
    </font>
    <font>
      <sz val="8"/>
      <color indexed="16"/>
      <name val="Arial"/>
      <family val="2"/>
      <charset val="238"/>
    </font>
    <font>
      <b/>
      <sz val="8"/>
      <color indexed="16"/>
      <name val="Arial"/>
      <family val="2"/>
      <charset val="238"/>
    </font>
    <font>
      <b/>
      <sz val="9"/>
      <color indexed="10"/>
      <name val="Arial"/>
      <family val="2"/>
      <charset val="238"/>
    </font>
    <font>
      <sz val="9"/>
      <color indexed="10"/>
      <name val="Arial"/>
      <family val="2"/>
      <charset val="238"/>
    </font>
  </fonts>
  <fills count="15">
    <fill>
      <patternFill patternType="none"/>
    </fill>
    <fill>
      <patternFill patternType="gray125"/>
    </fill>
    <fill>
      <patternFill patternType="lightGray">
        <fgColor indexed="22"/>
      </patternFill>
    </fill>
    <fill>
      <patternFill patternType="solid">
        <fgColor indexed="22"/>
        <bgColor indexed="64"/>
      </patternFill>
    </fill>
    <fill>
      <patternFill patternType="solid">
        <fgColor indexed="56"/>
        <bgColor indexed="64"/>
      </patternFill>
    </fill>
    <fill>
      <patternFill patternType="lightGray">
        <fgColor indexed="31"/>
      </patternFill>
    </fill>
    <fill>
      <patternFill patternType="solid">
        <fgColor indexed="55"/>
        <bgColor indexed="64"/>
      </patternFill>
    </fill>
    <fill>
      <patternFill patternType="solid">
        <fgColor indexed="55"/>
        <bgColor indexed="22"/>
      </patternFill>
    </fill>
    <fill>
      <patternFill patternType="lightUp">
        <fgColor indexed="22"/>
      </patternFill>
    </fill>
    <fill>
      <patternFill patternType="solid">
        <fgColor indexed="56"/>
        <bgColor indexed="22"/>
      </patternFill>
    </fill>
    <fill>
      <patternFill patternType="solid">
        <fgColor indexed="26"/>
        <bgColor indexed="55"/>
      </patternFill>
    </fill>
    <fill>
      <patternFill patternType="solid">
        <fgColor indexed="13"/>
        <bgColor indexed="64"/>
      </patternFill>
    </fill>
    <fill>
      <patternFill patternType="gray125">
        <fgColor indexed="22"/>
      </patternFill>
    </fill>
    <fill>
      <patternFill patternType="mediumGray">
        <fgColor indexed="22"/>
      </patternFill>
    </fill>
    <fill>
      <patternFill patternType="gray125">
        <fgColor indexed="22"/>
        <bgColor indexed="22"/>
      </patternFill>
    </fill>
  </fills>
  <borders count="79">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22"/>
      </top>
      <bottom style="thin">
        <color indexed="22"/>
      </bottom>
      <diagonal/>
    </border>
    <border>
      <left style="thin">
        <color indexed="55"/>
      </left>
      <right style="thin">
        <color indexed="55"/>
      </right>
      <top/>
      <bottom style="thin">
        <color indexed="55"/>
      </bottom>
      <diagonal/>
    </border>
    <border>
      <left/>
      <right/>
      <top/>
      <bottom style="medium">
        <color indexed="22"/>
      </bottom>
      <diagonal/>
    </border>
    <border>
      <left/>
      <right/>
      <top style="medium">
        <color indexed="22"/>
      </top>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bottom style="thin">
        <color indexed="64"/>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8"/>
      </bottom>
      <diagonal/>
    </border>
    <border>
      <left/>
      <right style="medium">
        <color indexed="64"/>
      </right>
      <top/>
      <bottom/>
      <diagonal/>
    </border>
    <border>
      <left style="thin">
        <color indexed="23"/>
      </left>
      <right/>
      <top/>
      <bottom/>
      <diagonal/>
    </border>
    <border>
      <left style="thin">
        <color indexed="55"/>
      </left>
      <right/>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right style="thin">
        <color indexed="64"/>
      </right>
      <top/>
      <bottom/>
      <diagonal/>
    </border>
    <border>
      <left style="thin">
        <color indexed="22"/>
      </left>
      <right style="thin">
        <color indexed="64"/>
      </right>
      <top style="thin">
        <color indexed="64"/>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22"/>
      </right>
      <top style="thin">
        <color indexed="64"/>
      </top>
      <bottom/>
      <diagonal/>
    </border>
    <border>
      <left style="thin">
        <color indexed="22"/>
      </left>
      <right style="thin">
        <color indexed="64"/>
      </right>
      <top style="thin">
        <color indexed="64"/>
      </top>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right/>
      <top style="thin">
        <color indexed="2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55"/>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right/>
      <top style="medium">
        <color indexed="64"/>
      </top>
      <bottom/>
      <diagonal/>
    </border>
    <border>
      <left/>
      <right style="thin">
        <color indexed="23"/>
      </right>
      <top/>
      <bottom/>
      <diagonal/>
    </border>
    <border>
      <left/>
      <right/>
      <top style="thin">
        <color indexed="23"/>
      </top>
      <bottom/>
      <diagonal/>
    </border>
    <border>
      <left style="thin">
        <color indexed="22"/>
      </left>
      <right/>
      <top/>
      <bottom/>
      <diagonal/>
    </border>
    <border>
      <left/>
      <right style="thin">
        <color indexed="22"/>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9"/>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64"/>
      </left>
      <right style="thin">
        <color indexed="9"/>
      </right>
      <top style="medium">
        <color indexed="22"/>
      </top>
      <bottom style="medium">
        <color indexed="22"/>
      </bottom>
      <diagonal/>
    </border>
    <border>
      <left style="thin">
        <color indexed="8"/>
      </left>
      <right style="thin">
        <color indexed="8"/>
      </right>
      <top/>
      <bottom style="thin">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22"/>
      </right>
      <top/>
      <bottom/>
      <diagonal/>
    </border>
    <border>
      <left style="thin">
        <color indexed="22"/>
      </left>
      <right style="thin">
        <color indexed="22"/>
      </right>
      <top/>
      <bottom/>
      <diagonal/>
    </border>
    <border>
      <left style="thin">
        <color indexed="22"/>
      </left>
      <right style="thin">
        <color indexed="64"/>
      </right>
      <top/>
      <bottom/>
      <diagonal/>
    </border>
    <border>
      <left style="thin">
        <color indexed="64"/>
      </left>
      <right style="thin">
        <color indexed="64"/>
      </right>
      <top style="thin">
        <color indexed="64"/>
      </top>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22"/>
      </bottom>
      <diagonal/>
    </border>
  </borders>
  <cellStyleXfs count="2">
    <xf numFmtId="0" fontId="0" fillId="0" borderId="0"/>
    <xf numFmtId="0" fontId="6" fillId="0" borderId="0" applyNumberFormat="0" applyFill="0" applyBorder="0" applyAlignment="0" applyProtection="0">
      <alignment vertical="top"/>
      <protection locked="0"/>
    </xf>
  </cellStyleXfs>
  <cellXfs count="523">
    <xf numFmtId="0" fontId="0" fillId="0" borderId="0" xfId="0"/>
    <xf numFmtId="0" fontId="5"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xf numFmtId="0" fontId="29" fillId="0" borderId="1" xfId="0" applyFont="1" applyBorder="1" applyAlignment="1" applyProtection="1">
      <alignment horizontal="center" vertical="center"/>
      <protection hidden="1"/>
    </xf>
    <xf numFmtId="0" fontId="2" fillId="0" borderId="0" xfId="0" applyFont="1" applyFill="1" applyBorder="1" applyAlignment="1" applyProtection="1">
      <alignment vertical="center"/>
      <protection hidden="1"/>
    </xf>
    <xf numFmtId="0" fontId="11"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wrapText="1"/>
      <protection hidden="1"/>
    </xf>
    <xf numFmtId="0" fontId="11" fillId="0" borderId="2" xfId="0" applyFont="1" applyFill="1" applyBorder="1" applyAlignment="1" applyProtection="1">
      <alignment horizontal="center" vertical="center" wrapText="1"/>
      <protection hidden="1"/>
    </xf>
    <xf numFmtId="0" fontId="3" fillId="0" borderId="0" xfId="0" applyFont="1" applyAlignment="1" applyProtection="1">
      <alignment horizontal="right" vertical="center"/>
      <protection hidden="1"/>
    </xf>
    <xf numFmtId="0" fontId="11" fillId="0" borderId="0" xfId="0" applyFont="1" applyBorder="1" applyAlignment="1" applyProtection="1">
      <alignment horizontal="right" vertical="center"/>
      <protection hidden="1"/>
    </xf>
    <xf numFmtId="0" fontId="2" fillId="0" borderId="0" xfId="0" quotePrefix="1" applyFont="1" applyFill="1" applyBorder="1" applyAlignment="1">
      <alignment vertical="center"/>
    </xf>
    <xf numFmtId="175" fontId="4" fillId="0" borderId="3" xfId="0" applyNumberFormat="1" applyFont="1" applyFill="1" applyBorder="1" applyAlignment="1">
      <alignment horizontal="center" vertical="center"/>
    </xf>
    <xf numFmtId="49" fontId="4" fillId="0" borderId="3" xfId="0" applyNumberFormat="1" applyFont="1" applyFill="1" applyBorder="1" applyAlignment="1" applyProtection="1">
      <alignment vertical="center"/>
      <protection locked="0"/>
    </xf>
    <xf numFmtId="175" fontId="4" fillId="0" borderId="4" xfId="0" applyNumberFormat="1" applyFont="1" applyFill="1" applyBorder="1" applyAlignment="1">
      <alignment horizontal="center" vertical="center"/>
    </xf>
    <xf numFmtId="49" fontId="4" fillId="0" borderId="4" xfId="0" applyNumberFormat="1" applyFont="1" applyFill="1" applyBorder="1" applyAlignment="1" applyProtection="1">
      <alignment vertical="center"/>
      <protection locked="0"/>
    </xf>
    <xf numFmtId="175" fontId="4" fillId="0" borderId="5" xfId="0" applyNumberFormat="1" applyFont="1" applyFill="1" applyBorder="1" applyAlignment="1">
      <alignment horizontal="center" vertical="center"/>
    </xf>
    <xf numFmtId="49" fontId="4" fillId="0" borderId="5" xfId="0" applyNumberFormat="1" applyFont="1" applyFill="1" applyBorder="1" applyAlignment="1" applyProtection="1">
      <alignment vertical="center"/>
      <protection locked="0"/>
    </xf>
    <xf numFmtId="49" fontId="4" fillId="0" borderId="4" xfId="0" applyNumberFormat="1" applyFont="1" applyFill="1" applyBorder="1" applyAlignment="1" applyProtection="1">
      <alignment horizontal="center" vertical="center"/>
      <protection locked="0" hidden="1"/>
    </xf>
    <xf numFmtId="49" fontId="4" fillId="0" borderId="5" xfId="0" applyNumberFormat="1" applyFont="1" applyFill="1" applyBorder="1" applyAlignment="1" applyProtection="1">
      <alignment horizontal="center" vertical="center"/>
      <protection locked="0" hidden="1"/>
    </xf>
    <xf numFmtId="3" fontId="2" fillId="0" borderId="6" xfId="0" applyNumberFormat="1" applyFont="1" applyFill="1" applyBorder="1" applyAlignment="1" applyProtection="1">
      <alignment vertical="center" shrinkToFit="1"/>
      <protection locked="0"/>
    </xf>
    <xf numFmtId="0" fontId="3" fillId="0" borderId="0" xfId="0" applyFont="1" applyAlignment="1" applyProtection="1">
      <alignment horizontal="right" vertical="center" wrapText="1"/>
      <protection hidden="1"/>
    </xf>
    <xf numFmtId="0" fontId="35" fillId="0" borderId="0" xfId="0" applyFont="1" applyBorder="1" applyAlignment="1" applyProtection="1">
      <alignment horizontal="left" vertical="center"/>
      <protection hidden="1"/>
    </xf>
    <xf numFmtId="0" fontId="0" fillId="0" borderId="0" xfId="0" applyAlignment="1">
      <alignment vertical="center"/>
    </xf>
    <xf numFmtId="49" fontId="0" fillId="0" borderId="0" xfId="0" applyNumberFormat="1" applyFill="1" applyBorder="1"/>
    <xf numFmtId="2" fontId="0" fillId="0" borderId="0" xfId="0" applyNumberFormat="1" applyFill="1" applyBorder="1"/>
    <xf numFmtId="1" fontId="0" fillId="0" borderId="0" xfId="0" applyNumberFormat="1" applyFill="1" applyBorder="1"/>
    <xf numFmtId="3" fontId="0" fillId="0" borderId="0" xfId="0" applyNumberFormat="1" applyFill="1" applyBorder="1"/>
    <xf numFmtId="0" fontId="29" fillId="0" borderId="0" xfId="0" applyFont="1" applyBorder="1" applyAlignment="1" applyProtection="1">
      <alignment horizontal="center" vertical="center"/>
      <protection hidden="1"/>
    </xf>
    <xf numFmtId="0" fontId="0" fillId="0" borderId="0" xfId="0" applyAlignment="1">
      <alignment horizontal="left" vertical="center" wrapText="1"/>
    </xf>
    <xf numFmtId="3" fontId="14" fillId="2" borderId="7" xfId="0" applyNumberFormat="1"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hidden="1"/>
    </xf>
    <xf numFmtId="0" fontId="29" fillId="0" borderId="9" xfId="0" applyFont="1" applyBorder="1" applyAlignment="1" applyProtection="1">
      <alignment horizontal="center" vertical="center"/>
      <protection hidden="1"/>
    </xf>
    <xf numFmtId="0" fontId="3" fillId="0" borderId="8" xfId="0" applyFont="1" applyBorder="1" applyAlignment="1" applyProtection="1">
      <alignment horizontal="right" vertical="center"/>
      <protection hidden="1"/>
    </xf>
    <xf numFmtId="1" fontId="14" fillId="2" borderId="10" xfId="0" applyNumberFormat="1" applyFont="1" applyFill="1" applyBorder="1" applyAlignment="1" applyProtection="1">
      <alignment horizontal="center" vertical="center"/>
      <protection locked="0"/>
    </xf>
    <xf numFmtId="49" fontId="14" fillId="2" borderId="10" xfId="0" applyNumberFormat="1" applyFont="1" applyFill="1" applyBorder="1" applyAlignment="1" applyProtection="1">
      <alignment horizontal="center" vertical="center"/>
      <protection locked="0"/>
    </xf>
    <xf numFmtId="3" fontId="14" fillId="2" borderId="10" xfId="0" applyNumberFormat="1"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2" borderId="10" xfId="0" applyFont="1" applyFill="1" applyBorder="1" applyAlignment="1" applyProtection="1">
      <alignment horizontal="right" vertical="center"/>
      <protection locked="0"/>
    </xf>
    <xf numFmtId="0" fontId="3" fillId="0" borderId="0" xfId="0" applyFont="1" applyAlignment="1">
      <alignment horizontal="right" vertical="center" shrinkToFit="1"/>
    </xf>
    <xf numFmtId="0" fontId="3" fillId="0" borderId="0" xfId="0" applyFont="1" applyAlignment="1" applyProtection="1">
      <alignment horizontal="right" vertical="center" shrinkToFit="1"/>
      <protection hidden="1"/>
    </xf>
    <xf numFmtId="0" fontId="3" fillId="0" borderId="0" xfId="0" applyFont="1" applyBorder="1" applyAlignment="1" applyProtection="1">
      <alignment horizontal="right" vertical="center"/>
      <protection hidden="1"/>
    </xf>
    <xf numFmtId="0" fontId="11" fillId="0" borderId="0" xfId="0" applyFont="1" applyFill="1" applyBorder="1" applyAlignment="1">
      <alignment horizontal="center"/>
    </xf>
    <xf numFmtId="49" fontId="11" fillId="0" borderId="0" xfId="0" applyNumberFormat="1" applyFont="1" applyFill="1" applyBorder="1" applyAlignment="1">
      <alignment horizontal="center"/>
    </xf>
    <xf numFmtId="2" fontId="11" fillId="0" borderId="0" xfId="0" applyNumberFormat="1" applyFont="1" applyFill="1" applyBorder="1" applyAlignment="1">
      <alignment horizontal="center"/>
    </xf>
    <xf numFmtId="1" fontId="11" fillId="0" borderId="0" xfId="0" applyNumberFormat="1" applyFont="1" applyFill="1" applyBorder="1" applyAlignment="1">
      <alignment horizontal="center"/>
    </xf>
    <xf numFmtId="1" fontId="50" fillId="0" borderId="0" xfId="0" applyNumberFormat="1" applyFont="1" applyFill="1" applyBorder="1" applyAlignment="1" applyProtection="1">
      <alignment vertical="center"/>
      <protection hidden="1"/>
    </xf>
    <xf numFmtId="0" fontId="50" fillId="0" borderId="0" xfId="0" applyFont="1" applyFill="1" applyBorder="1" applyAlignment="1" applyProtection="1">
      <alignment vertical="center"/>
      <protection hidden="1"/>
    </xf>
    <xf numFmtId="0" fontId="51" fillId="0" borderId="0" xfId="0" applyFont="1" applyAlignment="1">
      <alignment vertical="center"/>
    </xf>
    <xf numFmtId="2" fontId="51" fillId="0" borderId="0" xfId="0" applyNumberFormat="1" applyFont="1" applyAlignment="1">
      <alignment vertical="center"/>
    </xf>
    <xf numFmtId="0" fontId="51" fillId="0" borderId="0" xfId="0" applyFont="1" applyFill="1" applyBorder="1" applyAlignment="1">
      <alignment vertical="center"/>
    </xf>
    <xf numFmtId="49" fontId="51" fillId="0" borderId="0" xfId="0" applyNumberFormat="1" applyFont="1" applyFill="1" applyBorder="1" applyAlignment="1">
      <alignment vertical="center"/>
    </xf>
    <xf numFmtId="1" fontId="14" fillId="0" borderId="0" xfId="0" applyNumberFormat="1" applyFont="1" applyFill="1" applyBorder="1" applyAlignment="1" applyProtection="1">
      <alignment horizontal="right" vertical="center"/>
      <protection hidden="1"/>
    </xf>
    <xf numFmtId="0" fontId="8" fillId="0" borderId="0" xfId="0" applyFont="1" applyBorder="1" applyAlignment="1" applyProtection="1">
      <alignment horizontal="left" vertical="center"/>
      <protection hidden="1"/>
    </xf>
    <xf numFmtId="0" fontId="0" fillId="0" borderId="0" xfId="0" applyBorder="1" applyAlignment="1" applyProtection="1">
      <alignment vertical="center"/>
      <protection hidden="1"/>
    </xf>
    <xf numFmtId="0" fontId="8" fillId="0" borderId="0" xfId="0" applyFont="1" applyBorder="1" applyAlignment="1" applyProtection="1">
      <alignment horizontal="center" vertical="center"/>
      <protection hidden="1"/>
    </xf>
    <xf numFmtId="0" fontId="8" fillId="0" borderId="0" xfId="0" applyFont="1" applyBorder="1" applyAlignment="1" applyProtection="1">
      <alignment vertical="center"/>
      <protection hidden="1"/>
    </xf>
    <xf numFmtId="0" fontId="8" fillId="0" borderId="0" xfId="0" applyFont="1" applyAlignment="1">
      <alignment vertical="center"/>
    </xf>
    <xf numFmtId="0" fontId="22" fillId="0" borderId="0" xfId="0" applyFont="1" applyAlignment="1">
      <alignment vertical="center"/>
    </xf>
    <xf numFmtId="0" fontId="18" fillId="3" borderId="11" xfId="0" applyFont="1" applyFill="1"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49" fillId="4" borderId="12" xfId="1" applyFont="1" applyFill="1" applyBorder="1" applyAlignment="1" applyProtection="1">
      <alignment horizontal="center" vertical="center" shrinkToFit="1"/>
      <protection hidden="1"/>
    </xf>
    <xf numFmtId="0" fontId="49" fillId="4" borderId="13" xfId="1" applyFont="1" applyFill="1" applyBorder="1" applyAlignment="1" applyProtection="1">
      <alignment horizontal="center" vertical="center" shrinkToFit="1"/>
      <protection hidden="1"/>
    </xf>
    <xf numFmtId="1" fontId="14" fillId="2" borderId="10" xfId="0" applyNumberFormat="1" applyFont="1" applyFill="1" applyBorder="1" applyAlignment="1" applyProtection="1">
      <alignment horizontal="left" vertical="center"/>
      <protection locked="0"/>
    </xf>
    <xf numFmtId="3" fontId="9" fillId="0" borderId="4" xfId="0" applyNumberFormat="1" applyFont="1" applyFill="1" applyBorder="1" applyAlignment="1" applyProtection="1">
      <alignment horizontal="right" vertical="center" shrinkToFit="1"/>
      <protection hidden="1"/>
    </xf>
    <xf numFmtId="3" fontId="5" fillId="0" borderId="4" xfId="0" applyNumberFormat="1" applyFont="1" applyFill="1" applyBorder="1" applyAlignment="1" applyProtection="1">
      <alignment horizontal="right" vertical="center" shrinkToFit="1"/>
      <protection locked="0"/>
    </xf>
    <xf numFmtId="3" fontId="5" fillId="0" borderId="5" xfId="0" applyNumberFormat="1" applyFont="1" applyFill="1" applyBorder="1" applyAlignment="1" applyProtection="1">
      <alignment horizontal="right" vertical="center" shrinkToFit="1"/>
      <protection locked="0"/>
    </xf>
    <xf numFmtId="0" fontId="5" fillId="0" borderId="0" xfId="0" quotePrefix="1" applyFont="1" applyFill="1" applyBorder="1" applyAlignment="1">
      <alignment vertical="center"/>
    </xf>
    <xf numFmtId="3" fontId="5" fillId="0" borderId="0" xfId="0" applyNumberFormat="1" applyFont="1" applyFill="1" applyBorder="1" applyAlignment="1">
      <alignment vertical="center"/>
    </xf>
    <xf numFmtId="0" fontId="5" fillId="0" borderId="0" xfId="0" applyFont="1" applyFill="1" applyBorder="1" applyAlignment="1" applyProtection="1">
      <alignment vertical="center"/>
      <protection hidden="1"/>
    </xf>
    <xf numFmtId="0" fontId="5" fillId="0" borderId="14" xfId="0" applyFont="1" applyBorder="1" applyAlignment="1" applyProtection="1">
      <alignment horizontal="center" vertical="top" wrapText="1"/>
      <protection hidden="1"/>
    </xf>
    <xf numFmtId="3" fontId="5" fillId="0" borderId="4" xfId="0" applyNumberFormat="1" applyFont="1" applyFill="1" applyBorder="1" applyAlignment="1" applyProtection="1">
      <alignment vertical="center"/>
      <protection locked="0"/>
    </xf>
    <xf numFmtId="3" fontId="5" fillId="0" borderId="5" xfId="0" applyNumberFormat="1" applyFont="1" applyFill="1" applyBorder="1" applyAlignment="1" applyProtection="1">
      <alignment vertical="center"/>
      <protection locked="0"/>
    </xf>
    <xf numFmtId="0" fontId="12" fillId="0" borderId="0" xfId="0" applyFont="1" applyFill="1" applyBorder="1" applyAlignment="1" applyProtection="1">
      <alignment horizontal="center" vertical="top" wrapText="1"/>
      <protection hidden="1"/>
    </xf>
    <xf numFmtId="0" fontId="43" fillId="0" borderId="0" xfId="0" applyFont="1" applyFill="1" applyBorder="1" applyAlignment="1" applyProtection="1">
      <alignment horizontal="center" vertical="top" wrapText="1"/>
      <protection hidden="1"/>
    </xf>
    <xf numFmtId="0" fontId="4" fillId="0" borderId="0" xfId="0" applyFont="1" applyFill="1" applyBorder="1" applyAlignment="1" applyProtection="1">
      <alignment horizontal="center" vertical="center" wrapText="1"/>
      <protection hidden="1"/>
    </xf>
    <xf numFmtId="0" fontId="5" fillId="0" borderId="0" xfId="0" applyFont="1"/>
    <xf numFmtId="0" fontId="5" fillId="0" borderId="0" xfId="0" applyFont="1" applyFill="1" applyBorder="1"/>
    <xf numFmtId="3" fontId="9" fillId="0" borderId="3" xfId="0" applyNumberFormat="1" applyFont="1" applyFill="1" applyBorder="1" applyAlignment="1" applyProtection="1">
      <alignment horizontal="right" vertical="center" shrinkToFit="1"/>
      <protection hidden="1"/>
    </xf>
    <xf numFmtId="3" fontId="9" fillId="0" borderId="5" xfId="0" applyNumberFormat="1" applyFont="1" applyFill="1" applyBorder="1" applyAlignment="1" applyProtection="1">
      <alignment horizontal="right" vertical="center" shrinkToFit="1"/>
      <protection hidden="1"/>
    </xf>
    <xf numFmtId="3" fontId="9" fillId="0" borderId="4" xfId="0" applyNumberFormat="1" applyFont="1" applyFill="1" applyBorder="1" applyAlignment="1" applyProtection="1">
      <alignment vertical="center"/>
      <protection hidden="1"/>
    </xf>
    <xf numFmtId="3" fontId="9" fillId="0" borderId="5" xfId="0" applyNumberFormat="1" applyFont="1" applyFill="1" applyBorder="1" applyAlignment="1" applyProtection="1">
      <alignment vertical="center"/>
      <protection hidden="1"/>
    </xf>
    <xf numFmtId="49" fontId="5" fillId="0" borderId="0" xfId="0" applyNumberFormat="1" applyFont="1" applyFill="1" applyBorder="1" applyAlignment="1">
      <alignment vertical="center" wrapText="1"/>
    </xf>
    <xf numFmtId="0" fontId="43" fillId="0" borderId="14" xfId="0" applyFont="1" applyBorder="1" applyAlignment="1">
      <alignment horizontal="center" vertical="top" wrapText="1"/>
    </xf>
    <xf numFmtId="0" fontId="5" fillId="0" borderId="14" xfId="0" applyFont="1" applyBorder="1" applyAlignment="1">
      <alignment horizontal="center" wrapText="1"/>
    </xf>
    <xf numFmtId="0" fontId="4" fillId="5" borderId="0" xfId="0" applyFont="1" applyFill="1" applyBorder="1" applyAlignment="1">
      <alignment horizontal="center" vertical="center" wrapText="1"/>
    </xf>
    <xf numFmtId="175" fontId="4" fillId="0" borderId="15" xfId="0" applyNumberFormat="1" applyFont="1" applyFill="1" applyBorder="1" applyAlignment="1">
      <alignment horizontal="center" vertical="center"/>
    </xf>
    <xf numFmtId="3" fontId="5" fillId="0" borderId="15"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vertical="center"/>
      <protection locked="0"/>
    </xf>
    <xf numFmtId="175" fontId="4" fillId="0" borderId="16" xfId="0" applyNumberFormat="1" applyFont="1" applyFill="1" applyBorder="1" applyAlignment="1">
      <alignment horizontal="center" vertical="center"/>
    </xf>
    <xf numFmtId="3" fontId="5" fillId="0" borderId="16" xfId="0" applyNumberFormat="1" applyFont="1" applyFill="1" applyBorder="1" applyAlignment="1" applyProtection="1">
      <alignment vertical="center"/>
      <protection locked="0"/>
    </xf>
    <xf numFmtId="0" fontId="31" fillId="6" borderId="17" xfId="0" applyFont="1" applyFill="1" applyBorder="1" applyAlignment="1" applyProtection="1">
      <alignment horizontal="center" vertical="center" wrapText="1"/>
      <protection hidden="1"/>
    </xf>
    <xf numFmtId="0" fontId="30" fillId="6" borderId="17" xfId="0" applyFont="1" applyFill="1" applyBorder="1" applyAlignment="1">
      <alignment horizontal="center" vertical="center" wrapText="1"/>
    </xf>
    <xf numFmtId="0" fontId="30" fillId="6" borderId="18" xfId="0" applyFont="1" applyFill="1" applyBorder="1" applyAlignment="1">
      <alignment horizontal="center" vertical="center" wrapText="1"/>
    </xf>
    <xf numFmtId="49" fontId="30" fillId="6" borderId="19" xfId="0" applyNumberFormat="1" applyFont="1" applyFill="1" applyBorder="1" applyAlignment="1" applyProtection="1">
      <alignment horizontal="center" vertical="center"/>
      <protection hidden="1"/>
    </xf>
    <xf numFmtId="49" fontId="30" fillId="6" borderId="19" xfId="0" applyNumberFormat="1" applyFont="1" applyFill="1" applyBorder="1" applyAlignment="1">
      <alignment horizontal="center" vertical="center" wrapText="1"/>
    </xf>
    <xf numFmtId="0" fontId="30" fillId="6" borderId="17" xfId="0" applyFont="1" applyFill="1" applyBorder="1" applyAlignment="1" applyProtection="1">
      <alignment horizontal="center" vertical="center" wrapText="1"/>
      <protection hidden="1"/>
    </xf>
    <xf numFmtId="0" fontId="30" fillId="6" borderId="18" xfId="0" applyFont="1" applyFill="1" applyBorder="1" applyAlignment="1" applyProtection="1">
      <alignment horizontal="center" vertical="center" wrapText="1"/>
      <protection hidden="1"/>
    </xf>
    <xf numFmtId="0" fontId="31" fillId="6" borderId="19" xfId="0" applyFont="1" applyFill="1" applyBorder="1" applyAlignment="1" applyProtection="1">
      <alignment horizontal="center" vertical="center" wrapText="1"/>
      <protection hidden="1"/>
    </xf>
    <xf numFmtId="0" fontId="31" fillId="6" borderId="19" xfId="0" applyFont="1" applyFill="1" applyBorder="1" applyAlignment="1" applyProtection="1">
      <alignment horizontal="center" vertical="center"/>
      <protection hidden="1"/>
    </xf>
    <xf numFmtId="0" fontId="31" fillId="6" borderId="20" xfId="0" applyFont="1" applyFill="1" applyBorder="1" applyAlignment="1" applyProtection="1">
      <alignment horizontal="center" vertical="center" wrapText="1"/>
      <protection hidden="1"/>
    </xf>
    <xf numFmtId="0" fontId="30" fillId="7" borderId="17"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8" fillId="0" borderId="0" xfId="0" applyFont="1" applyAlignment="1">
      <alignment vertical="center"/>
    </xf>
    <xf numFmtId="0" fontId="30" fillId="7" borderId="19" xfId="0" applyFont="1" applyFill="1" applyBorder="1" applyAlignment="1">
      <alignment horizontal="center" vertical="center" wrapText="1"/>
    </xf>
    <xf numFmtId="0" fontId="30" fillId="7" borderId="19" xfId="0" applyFont="1" applyFill="1" applyBorder="1" applyAlignment="1">
      <alignment horizontal="center" vertical="center"/>
    </xf>
    <xf numFmtId="0" fontId="30" fillId="7" borderId="20" xfId="0" applyFont="1" applyFill="1" applyBorder="1" applyAlignment="1">
      <alignment horizontal="center" vertical="center" wrapText="1"/>
    </xf>
    <xf numFmtId="0" fontId="30" fillId="6" borderId="21" xfId="0" applyFont="1" applyFill="1" applyBorder="1" applyAlignment="1">
      <alignment horizontal="center" vertical="center" wrapText="1"/>
    </xf>
    <xf numFmtId="49" fontId="30" fillId="6" borderId="19" xfId="0" applyNumberFormat="1" applyFont="1" applyFill="1" applyBorder="1" applyAlignment="1">
      <alignment horizontal="center" vertical="center"/>
    </xf>
    <xf numFmtId="49" fontId="30" fillId="6" borderId="20" xfId="0" applyNumberFormat="1" applyFont="1" applyFill="1" applyBorder="1" applyAlignment="1" applyProtection="1">
      <alignment horizontal="center" vertical="center"/>
      <protection hidden="1"/>
    </xf>
    <xf numFmtId="0" fontId="12" fillId="0" borderId="14" xfId="0" applyFont="1" applyFill="1" applyBorder="1" applyAlignment="1">
      <alignment horizontal="center" vertical="top" wrapText="1"/>
    </xf>
    <xf numFmtId="0" fontId="31" fillId="6" borderId="19" xfId="0" applyFont="1" applyFill="1" applyBorder="1" applyAlignment="1">
      <alignment horizontal="center" vertical="center"/>
    </xf>
    <xf numFmtId="49" fontId="31" fillId="6" borderId="19" xfId="0" applyNumberFormat="1" applyFont="1" applyFill="1" applyBorder="1" applyAlignment="1" applyProtection="1">
      <alignment horizontal="center" vertical="center"/>
      <protection hidden="1"/>
    </xf>
    <xf numFmtId="49" fontId="31" fillId="6" borderId="19" xfId="0" applyNumberFormat="1" applyFont="1" applyFill="1" applyBorder="1" applyAlignment="1">
      <alignment horizontal="center" vertical="center" wrapText="1"/>
    </xf>
    <xf numFmtId="49" fontId="31" fillId="6" borderId="20" xfId="0" applyNumberFormat="1" applyFont="1" applyFill="1" applyBorder="1" applyAlignment="1">
      <alignment horizontal="center" vertical="center" wrapText="1"/>
    </xf>
    <xf numFmtId="0" fontId="12" fillId="0" borderId="0" xfId="0" applyFont="1" applyFill="1" applyBorder="1" applyAlignment="1">
      <alignment horizontal="center" vertical="top" wrapText="1"/>
    </xf>
    <xf numFmtId="0" fontId="43" fillId="0" borderId="0" xfId="0" applyFont="1" applyBorder="1" applyAlignment="1">
      <alignment horizontal="center" vertical="top" wrapText="1"/>
    </xf>
    <xf numFmtId="0" fontId="5" fillId="0" borderId="0" xfId="0" applyFont="1" applyBorder="1" applyAlignment="1">
      <alignment horizontal="center" wrapText="1"/>
    </xf>
    <xf numFmtId="49" fontId="4" fillId="0" borderId="15" xfId="0" applyNumberFormat="1" applyFont="1" applyFill="1" applyBorder="1" applyAlignment="1" applyProtection="1">
      <alignment horizontal="center" vertical="center"/>
      <protection locked="0" hidden="1"/>
    </xf>
    <xf numFmtId="3" fontId="9" fillId="0" borderId="4" xfId="0" applyNumberFormat="1" applyFont="1" applyFill="1" applyBorder="1" applyAlignment="1" applyProtection="1">
      <alignment horizontal="right" vertical="center"/>
      <protection hidden="1"/>
    </xf>
    <xf numFmtId="3" fontId="5" fillId="0" borderId="4" xfId="0" applyNumberFormat="1" applyFont="1" applyFill="1" applyBorder="1" applyAlignment="1" applyProtection="1">
      <alignment horizontal="right" vertical="center"/>
      <protection locked="0"/>
    </xf>
    <xf numFmtId="3" fontId="9" fillId="0" borderId="5" xfId="0" applyNumberFormat="1" applyFont="1" applyFill="1" applyBorder="1" applyAlignment="1" applyProtection="1">
      <alignment horizontal="right" vertical="center"/>
      <protection hidden="1"/>
    </xf>
    <xf numFmtId="0" fontId="16" fillId="0" borderId="14" xfId="0" applyFont="1" applyFill="1" applyBorder="1" applyAlignment="1">
      <alignment horizontal="center" vertical="top" wrapText="1"/>
    </xf>
    <xf numFmtId="0" fontId="16" fillId="0" borderId="0" xfId="0" applyFont="1" applyFill="1" applyBorder="1" applyAlignment="1">
      <alignment horizontal="center" vertical="top" wrapText="1"/>
    </xf>
    <xf numFmtId="0" fontId="56" fillId="0" borderId="0" xfId="0" applyFont="1" applyBorder="1" applyAlignment="1">
      <alignment horizontal="center" vertical="top" wrapText="1"/>
    </xf>
    <xf numFmtId="0" fontId="16" fillId="0" borderId="14" xfId="0" applyFont="1" applyBorder="1" applyAlignment="1">
      <alignment horizontal="center" vertical="center" wrapText="1"/>
    </xf>
    <xf numFmtId="49" fontId="11" fillId="0" borderId="6" xfId="0" applyNumberFormat="1" applyFont="1" applyFill="1" applyBorder="1" applyAlignment="1" applyProtection="1">
      <alignment horizontal="center" vertical="center"/>
      <protection locked="0"/>
    </xf>
    <xf numFmtId="49" fontId="11" fillId="0" borderId="22" xfId="0" applyNumberFormat="1" applyFont="1" applyFill="1" applyBorder="1" applyAlignment="1" applyProtection="1">
      <alignment horizontal="center" vertical="center"/>
      <protection locked="0"/>
    </xf>
    <xf numFmtId="0" fontId="2" fillId="0" borderId="0" xfId="0" applyFont="1"/>
    <xf numFmtId="0" fontId="2" fillId="0" borderId="0" xfId="0" applyFont="1" applyBorder="1" applyAlignment="1">
      <alignment wrapText="1"/>
    </xf>
    <xf numFmtId="0" fontId="2" fillId="0" borderId="23" xfId="0" applyFont="1" applyBorder="1" applyAlignment="1">
      <alignment wrapText="1"/>
    </xf>
    <xf numFmtId="0" fontId="2" fillId="0" borderId="0" xfId="0" applyFont="1" applyBorder="1" applyAlignment="1">
      <alignment horizontal="center" wrapText="1"/>
    </xf>
    <xf numFmtId="0" fontId="11" fillId="0" borderId="0" xfId="0" applyFont="1" applyFill="1" applyBorder="1" applyAlignment="1"/>
    <xf numFmtId="0" fontId="2" fillId="0" borderId="0" xfId="0" applyFont="1" applyFill="1" applyBorder="1" applyAlignment="1"/>
    <xf numFmtId="0" fontId="57" fillId="0" borderId="0" xfId="0" applyFont="1" applyFill="1" applyBorder="1" applyAlignment="1"/>
    <xf numFmtId="0" fontId="58" fillId="0" borderId="0" xfId="0" applyFont="1" applyFill="1" applyBorder="1" applyAlignment="1"/>
    <xf numFmtId="3" fontId="5" fillId="0" borderId="15" xfId="0" applyNumberFormat="1" applyFont="1" applyFill="1" applyBorder="1" applyAlignment="1" applyProtection="1">
      <alignment horizontal="right" vertical="center"/>
      <protection locked="0"/>
    </xf>
    <xf numFmtId="0" fontId="30" fillId="4" borderId="0" xfId="0" applyFont="1" applyFill="1" applyBorder="1" applyAlignment="1" applyProtection="1">
      <alignment horizontal="center" vertical="center" shrinkToFit="1"/>
      <protection hidden="1"/>
    </xf>
    <xf numFmtId="0" fontId="2" fillId="4" borderId="0" xfId="0" applyFont="1" applyFill="1" applyBorder="1" applyAlignment="1">
      <alignment vertical="center" shrinkToFit="1"/>
    </xf>
    <xf numFmtId="0" fontId="2" fillId="0" borderId="0" xfId="0" applyFont="1" applyFill="1" applyBorder="1" applyAlignment="1">
      <alignment horizontal="center" vertical="center"/>
    </xf>
    <xf numFmtId="0" fontId="0" fillId="0" borderId="0" xfId="0" applyBorder="1" applyAlignment="1">
      <alignment vertical="center" wrapText="1"/>
    </xf>
    <xf numFmtId="0" fontId="1" fillId="0" borderId="0" xfId="0" applyFont="1" applyAlignment="1">
      <alignment vertical="center"/>
    </xf>
    <xf numFmtId="0" fontId="38" fillId="0" borderId="0" xfId="0" applyFont="1" applyFill="1" applyBorder="1" applyAlignment="1">
      <alignment vertical="center"/>
    </xf>
    <xf numFmtId="0" fontId="0" fillId="0" borderId="0" xfId="0" applyBorder="1" applyAlignment="1" applyProtection="1">
      <alignment horizontal="left" vertical="center"/>
      <protection hidden="1"/>
    </xf>
    <xf numFmtId="0" fontId="0" fillId="0" borderId="14" xfId="0" applyBorder="1" applyAlignment="1" applyProtection="1">
      <alignment horizontal="right" vertical="center"/>
      <protection hidden="1"/>
    </xf>
    <xf numFmtId="0" fontId="7" fillId="0" borderId="14" xfId="0" applyFont="1" applyBorder="1" applyAlignment="1" applyProtection="1">
      <alignment horizontal="right" vertical="center"/>
      <protection hidden="1"/>
    </xf>
    <xf numFmtId="0" fontId="7" fillId="0" borderId="14" xfId="0" applyFont="1" applyBorder="1" applyAlignment="1" applyProtection="1">
      <alignment vertical="center"/>
      <protection hidden="1"/>
    </xf>
    <xf numFmtId="0" fontId="7" fillId="0" borderId="14" xfId="0" applyFont="1" applyBorder="1" applyAlignment="1" applyProtection="1">
      <alignment horizontal="left" vertical="center"/>
      <protection hidden="1"/>
    </xf>
    <xf numFmtId="0" fontId="0" fillId="0" borderId="14" xfId="0" applyBorder="1" applyAlignment="1" applyProtection="1">
      <alignment vertical="center"/>
      <protection hidden="1"/>
    </xf>
    <xf numFmtId="0" fontId="0" fillId="0" borderId="0" xfId="0" applyBorder="1" applyAlignment="1">
      <alignment vertical="center"/>
    </xf>
    <xf numFmtId="0" fontId="0" fillId="0" borderId="0" xfId="0" applyAlignment="1" applyProtection="1">
      <alignment vertical="center"/>
      <protection hidden="1"/>
    </xf>
    <xf numFmtId="0" fontId="7" fillId="0" borderId="0" xfId="0" applyFont="1" applyAlignment="1" applyProtection="1">
      <alignment horizontal="right" vertical="center"/>
      <protection hidden="1"/>
    </xf>
    <xf numFmtId="0" fontId="7" fillId="0" borderId="0" xfId="0" applyFont="1" applyBorder="1" applyAlignment="1" applyProtection="1">
      <alignment vertical="center"/>
      <protection hidden="1"/>
    </xf>
    <xf numFmtId="0" fontId="7" fillId="0" borderId="0" xfId="0" applyFont="1" applyAlignment="1" applyProtection="1">
      <alignment horizontal="left" vertical="center"/>
      <protection hidden="1"/>
    </xf>
    <xf numFmtId="0" fontId="0" fillId="0" borderId="0" xfId="0" applyAlignment="1" applyProtection="1">
      <alignment horizontal="right" vertical="center"/>
      <protection hidden="1"/>
    </xf>
    <xf numFmtId="0" fontId="34" fillId="0" borderId="0" xfId="0" applyFont="1" applyAlignment="1" applyProtection="1">
      <alignment vertical="center"/>
      <protection hidden="1"/>
    </xf>
    <xf numFmtId="0" fontId="35" fillId="0" borderId="0" xfId="0" applyFont="1" applyAlignment="1" applyProtection="1">
      <alignment horizontal="center" vertical="center"/>
      <protection hidden="1"/>
    </xf>
    <xf numFmtId="0" fontId="36" fillId="0" borderId="0" xfId="0" applyFont="1" applyAlignment="1" applyProtection="1">
      <alignment vertical="center"/>
      <protection hidden="1"/>
    </xf>
    <xf numFmtId="0" fontId="0" fillId="0" borderId="0" xfId="0" applyNumberFormat="1" applyBorder="1" applyAlignment="1" applyProtection="1">
      <alignment vertical="center"/>
      <protection hidden="1"/>
    </xf>
    <xf numFmtId="0" fontId="7" fillId="0" borderId="0" xfId="0" applyFont="1" applyBorder="1" applyAlignment="1" applyProtection="1">
      <alignment horizontal="right" vertical="center"/>
      <protection hidden="1"/>
    </xf>
    <xf numFmtId="0" fontId="0" fillId="0" borderId="0" xfId="0" applyAlignment="1">
      <alignment vertical="center" wrapText="1"/>
    </xf>
    <xf numFmtId="0" fontId="24" fillId="0" borderId="0" xfId="0" applyFont="1" applyAlignment="1" applyProtection="1">
      <alignment vertical="center"/>
      <protection hidden="1"/>
    </xf>
    <xf numFmtId="0" fontId="8" fillId="0" borderId="8" xfId="0" applyFont="1" applyBorder="1" applyAlignment="1" applyProtection="1">
      <alignment vertical="center"/>
      <protection hidden="1"/>
    </xf>
    <xf numFmtId="0" fontId="0" fillId="0" borderId="8" xfId="0" applyBorder="1" applyAlignment="1">
      <alignment vertical="center"/>
    </xf>
    <xf numFmtId="0" fontId="0" fillId="0" borderId="8" xfId="0" applyBorder="1" applyAlignment="1">
      <alignment horizontal="left" vertical="center" wrapText="1"/>
    </xf>
    <xf numFmtId="0" fontId="0" fillId="0" borderId="9" xfId="0" applyBorder="1" applyAlignment="1" applyProtection="1">
      <alignment vertical="center"/>
      <protection hidden="1"/>
    </xf>
    <xf numFmtId="0" fontId="8" fillId="0" borderId="9" xfId="0" applyFont="1" applyBorder="1" applyAlignment="1" applyProtection="1">
      <alignment vertical="center"/>
      <protection hidden="1"/>
    </xf>
    <xf numFmtId="0" fontId="0" fillId="0" borderId="9" xfId="0" applyBorder="1" applyAlignment="1">
      <alignment horizontal="left" vertical="center" wrapText="1"/>
    </xf>
    <xf numFmtId="0" fontId="0" fillId="0" borderId="8" xfId="0" applyBorder="1" applyAlignment="1">
      <alignment vertical="center" wrapText="1"/>
    </xf>
    <xf numFmtId="0" fontId="0" fillId="0" borderId="8" xfId="0" applyBorder="1" applyAlignment="1" applyProtection="1">
      <alignment vertical="center"/>
      <protection hidden="1"/>
    </xf>
    <xf numFmtId="0" fontId="25" fillId="0" borderId="8" xfId="0" applyFont="1" applyBorder="1" applyAlignment="1" applyProtection="1">
      <alignment vertical="center" wrapText="1"/>
      <protection hidden="1"/>
    </xf>
    <xf numFmtId="0" fontId="0" fillId="0" borderId="8" xfId="0" applyBorder="1" applyAlignment="1" applyProtection="1">
      <alignment vertical="center" wrapText="1"/>
      <protection hidden="1"/>
    </xf>
    <xf numFmtId="0" fontId="0" fillId="0" borderId="8" xfId="0" applyBorder="1" applyAlignment="1" applyProtection="1">
      <alignment horizontal="left" vertical="center" wrapText="1"/>
      <protection hidden="1"/>
    </xf>
    <xf numFmtId="0" fontId="0" fillId="0" borderId="9" xfId="0" applyBorder="1" applyAlignment="1">
      <alignment vertical="center" wrapText="1"/>
    </xf>
    <xf numFmtId="0" fontId="25" fillId="0" borderId="9" xfId="0" applyFont="1" applyBorder="1" applyAlignment="1" applyProtection="1">
      <alignment vertical="center" wrapText="1"/>
      <protection hidden="1"/>
    </xf>
    <xf numFmtId="0" fontId="0" fillId="0" borderId="9" xfId="0" applyBorder="1" applyAlignment="1" applyProtection="1">
      <alignment vertical="center" wrapText="1"/>
      <protection hidden="1"/>
    </xf>
    <xf numFmtId="0" fontId="0" fillId="0" borderId="9" xfId="0" applyBorder="1" applyAlignment="1" applyProtection="1">
      <alignment horizontal="left" vertical="center" wrapText="1"/>
      <protection hidden="1"/>
    </xf>
    <xf numFmtId="0" fontId="25" fillId="0" borderId="0" xfId="0" applyFont="1" applyBorder="1" applyAlignment="1" applyProtection="1">
      <alignment vertical="center" wrapText="1"/>
      <protection hidden="1"/>
    </xf>
    <xf numFmtId="0" fontId="0" fillId="0" borderId="0" xfId="0" applyAlignment="1" applyProtection="1">
      <alignment vertical="center" wrapText="1"/>
      <protection hidden="1"/>
    </xf>
    <xf numFmtId="0" fontId="0" fillId="0" borderId="0"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24" fillId="0" borderId="0" xfId="0" applyFont="1" applyAlignment="1" applyProtection="1">
      <alignment vertical="center" wrapText="1"/>
      <protection hidden="1"/>
    </xf>
    <xf numFmtId="0" fontId="4" fillId="0" borderId="0" xfId="0" applyFont="1" applyAlignment="1">
      <alignment horizontal="left" vertical="center" wrapText="1"/>
    </xf>
    <xf numFmtId="0" fontId="22" fillId="0" borderId="0" xfId="0" applyFont="1" applyBorder="1" applyAlignment="1" applyProtection="1">
      <alignment vertical="center"/>
      <protection hidden="1"/>
    </xf>
    <xf numFmtId="0" fontId="0" fillId="0" borderId="9" xfId="0" applyBorder="1" applyAlignment="1">
      <alignment vertical="center"/>
    </xf>
    <xf numFmtId="0" fontId="0" fillId="0" borderId="24" xfId="0" applyBorder="1" applyAlignment="1">
      <alignment vertical="center"/>
    </xf>
    <xf numFmtId="0" fontId="3" fillId="0" borderId="25" xfId="0" applyFont="1" applyBorder="1" applyAlignment="1">
      <alignment horizontal="left" vertical="center"/>
    </xf>
    <xf numFmtId="0" fontId="2" fillId="0" borderId="0" xfId="0" applyFont="1" applyAlignment="1">
      <alignment vertical="center"/>
    </xf>
    <xf numFmtId="0" fontId="2" fillId="0" borderId="0" xfId="0" applyFont="1" applyFill="1" applyAlignment="1">
      <alignment vertical="center" wrapText="1"/>
    </xf>
    <xf numFmtId="3" fontId="2" fillId="0" borderId="0" xfId="0" applyNumberFormat="1" applyFont="1" applyFill="1" applyAlignment="1">
      <alignment vertical="center" wrapText="1"/>
    </xf>
    <xf numFmtId="3" fontId="2"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wrapText="1"/>
    </xf>
    <xf numFmtId="1" fontId="2" fillId="0" borderId="0" xfId="0" applyNumberFormat="1" applyFont="1" applyFill="1" applyAlignment="1">
      <alignment vertical="center" wrapText="1"/>
    </xf>
    <xf numFmtId="0" fontId="2" fillId="0" borderId="11"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0" xfId="0" applyFont="1" applyFill="1" applyAlignment="1">
      <alignment horizontal="center" vertical="center"/>
    </xf>
    <xf numFmtId="190" fontId="11" fillId="0" borderId="6" xfId="0" applyNumberFormat="1" applyFont="1" applyFill="1" applyBorder="1" applyAlignment="1">
      <alignment horizontal="center" vertical="center"/>
    </xf>
    <xf numFmtId="190" fontId="11" fillId="0" borderId="22" xfId="0" applyNumberFormat="1" applyFont="1" applyFill="1" applyBorder="1" applyAlignment="1">
      <alignment horizontal="center" vertical="center"/>
    </xf>
    <xf numFmtId="3" fontId="59" fillId="0" borderId="22" xfId="0" applyNumberFormat="1" applyFont="1" applyFill="1" applyBorder="1" applyAlignment="1" applyProtection="1">
      <alignment vertical="center" shrinkToFit="1"/>
      <protection hidden="1"/>
    </xf>
    <xf numFmtId="3" fontId="59" fillId="0" borderId="6" xfId="0" applyNumberFormat="1" applyFont="1" applyFill="1" applyBorder="1" applyAlignment="1" applyProtection="1">
      <alignment vertical="center" shrinkToFit="1"/>
      <protection hidden="1"/>
    </xf>
    <xf numFmtId="0" fontId="2" fillId="0" borderId="0" xfId="0" applyFont="1" applyFill="1" applyAlignment="1">
      <alignment horizontal="left" vertical="center"/>
    </xf>
    <xf numFmtId="0" fontId="2" fillId="0" borderId="26" xfId="0" applyNumberFormat="1" applyFont="1" applyFill="1" applyBorder="1" applyAlignment="1">
      <alignment horizontal="left" vertical="center"/>
    </xf>
    <xf numFmtId="0" fontId="2" fillId="0" borderId="27" xfId="0" applyNumberFormat="1" applyFont="1" applyFill="1" applyBorder="1" applyAlignment="1">
      <alignment horizontal="left" vertical="center"/>
    </xf>
    <xf numFmtId="0" fontId="2" fillId="0" borderId="28"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2" fillId="0" borderId="29" xfId="0" applyNumberFormat="1" applyFont="1" applyFill="1" applyBorder="1" applyAlignment="1">
      <alignment horizontal="left" vertical="center"/>
    </xf>
    <xf numFmtId="0" fontId="2" fillId="0" borderId="30" xfId="0" applyNumberFormat="1" applyFont="1" applyFill="1" applyBorder="1" applyAlignment="1">
      <alignment horizontal="left" vertical="center"/>
    </xf>
    <xf numFmtId="0" fontId="2" fillId="0" borderId="0" xfId="0" applyNumberFormat="1" applyFont="1" applyFill="1" applyBorder="1" applyAlignment="1">
      <alignment horizontal="left" vertical="center"/>
    </xf>
    <xf numFmtId="0" fontId="60" fillId="0" borderId="0" xfId="0" applyFont="1" applyFill="1" applyAlignment="1">
      <alignment vertical="center"/>
    </xf>
    <xf numFmtId="3" fontId="2" fillId="8" borderId="6" xfId="0" applyNumberFormat="1" applyFont="1" applyFill="1" applyBorder="1" applyAlignment="1" applyProtection="1">
      <alignment vertical="center" shrinkToFit="1"/>
    </xf>
    <xf numFmtId="0" fontId="2" fillId="0" borderId="0" xfId="0" applyFont="1" applyFill="1" applyBorder="1" applyAlignment="1">
      <alignment vertical="center" wrapText="1"/>
    </xf>
    <xf numFmtId="0" fontId="11" fillId="0" borderId="0" xfId="0" applyFont="1" applyBorder="1" applyAlignment="1">
      <alignment horizontal="right" vertical="center" wrapText="1"/>
    </xf>
    <xf numFmtId="0" fontId="61" fillId="0" borderId="31" xfId="0" applyFont="1" applyBorder="1" applyAlignment="1">
      <alignment horizontal="center" vertical="center" wrapText="1"/>
    </xf>
    <xf numFmtId="0" fontId="62" fillId="0" borderId="31" xfId="0" applyFont="1" applyBorder="1" applyAlignment="1">
      <alignment horizontal="center" vertical="center" wrapText="1"/>
    </xf>
    <xf numFmtId="0" fontId="2" fillId="0" borderId="11" xfId="0" applyFont="1" applyFill="1" applyBorder="1" applyAlignment="1">
      <alignment vertical="center"/>
    </xf>
    <xf numFmtId="0" fontId="29" fillId="0" borderId="11"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hidden="1"/>
    </xf>
    <xf numFmtId="3" fontId="9" fillId="0" borderId="15" xfId="0" applyNumberFormat="1" applyFont="1" applyFill="1" applyBorder="1" applyAlignment="1" applyProtection="1">
      <alignment vertical="center"/>
      <protection hidden="1"/>
    </xf>
    <xf numFmtId="49" fontId="30" fillId="6" borderId="19" xfId="0" applyNumberFormat="1" applyFont="1" applyFill="1" applyBorder="1" applyAlignment="1" applyProtection="1">
      <alignment horizontal="center" vertical="center" wrapText="1"/>
      <protection hidden="1"/>
    </xf>
    <xf numFmtId="0" fontId="2" fillId="0" borderId="0" xfId="0" applyFont="1" applyFill="1" applyAlignment="1">
      <alignment horizontal="right" vertical="center"/>
    </xf>
    <xf numFmtId="0" fontId="2" fillId="0" borderId="32" xfId="0" applyNumberFormat="1" applyFont="1" applyFill="1" applyBorder="1" applyAlignment="1">
      <alignment horizontal="left" vertical="center"/>
    </xf>
    <xf numFmtId="0" fontId="2" fillId="0" borderId="33" xfId="0" applyNumberFormat="1" applyFont="1" applyFill="1" applyBorder="1" applyAlignment="1">
      <alignment horizontal="left" vertical="center"/>
    </xf>
    <xf numFmtId="0" fontId="2" fillId="0" borderId="34" xfId="0" applyNumberFormat="1" applyFont="1" applyFill="1" applyBorder="1" applyAlignment="1">
      <alignment horizontal="left" vertical="center"/>
    </xf>
    <xf numFmtId="0" fontId="2" fillId="0" borderId="28" xfId="0" applyFont="1" applyFill="1" applyBorder="1" applyAlignment="1">
      <alignment vertical="center"/>
    </xf>
    <xf numFmtId="0" fontId="2" fillId="0" borderId="33" xfId="0" applyFont="1" applyFill="1" applyBorder="1" applyAlignment="1">
      <alignment vertical="center"/>
    </xf>
    <xf numFmtId="0" fontId="2" fillId="0" borderId="28" xfId="0" applyNumberFormat="1" applyFont="1" applyFill="1" applyBorder="1" applyAlignment="1">
      <alignment vertical="center"/>
    </xf>
    <xf numFmtId="0" fontId="2" fillId="0" borderId="33" xfId="0" applyNumberFormat="1" applyFont="1" applyFill="1" applyBorder="1" applyAlignment="1">
      <alignment vertical="center"/>
    </xf>
    <xf numFmtId="0" fontId="2" fillId="0" borderId="29" xfId="0" applyNumberFormat="1" applyFont="1" applyFill="1" applyBorder="1" applyAlignment="1">
      <alignment vertical="center"/>
    </xf>
    <xf numFmtId="0" fontId="2" fillId="0" borderId="34" xfId="0" applyNumberFormat="1" applyFont="1" applyFill="1" applyBorder="1" applyAlignment="1">
      <alignment vertical="center"/>
    </xf>
    <xf numFmtId="0" fontId="2" fillId="0" borderId="29" xfId="0" applyFont="1" applyFill="1" applyBorder="1" applyAlignment="1">
      <alignment vertical="center"/>
    </xf>
    <xf numFmtId="0" fontId="2" fillId="0" borderId="34" xfId="0" applyFont="1" applyFill="1" applyBorder="1" applyAlignment="1">
      <alignment vertical="center"/>
    </xf>
    <xf numFmtId="0" fontId="2" fillId="0" borderId="35" xfId="0" applyNumberFormat="1" applyFont="1" applyFill="1" applyBorder="1" applyAlignment="1">
      <alignment horizontal="left" vertical="center"/>
    </xf>
    <xf numFmtId="1" fontId="2" fillId="0" borderId="36" xfId="0" applyNumberFormat="1" applyFont="1" applyFill="1" applyBorder="1" applyAlignment="1">
      <alignment horizontal="left" vertical="center"/>
    </xf>
    <xf numFmtId="0" fontId="12" fillId="0" borderId="14" xfId="0" applyFont="1" applyFill="1" applyBorder="1" applyAlignment="1" applyProtection="1">
      <alignment horizontal="center" vertical="top" wrapText="1"/>
      <protection hidden="1"/>
    </xf>
    <xf numFmtId="0" fontId="11" fillId="0" borderId="3" xfId="0" applyFont="1" applyFill="1" applyBorder="1" applyAlignment="1" applyProtection="1">
      <alignment horizontal="center" vertical="center" wrapText="1"/>
      <protection hidden="1"/>
    </xf>
    <xf numFmtId="0" fontId="11" fillId="0" borderId="4" xfId="0" applyFont="1" applyFill="1" applyBorder="1" applyAlignment="1" applyProtection="1">
      <alignment horizontal="center" vertical="center" wrapText="1"/>
      <protection hidden="1"/>
    </xf>
    <xf numFmtId="0" fontId="11" fillId="0" borderId="5" xfId="0" applyFont="1" applyFill="1" applyBorder="1" applyAlignment="1" applyProtection="1">
      <alignment horizontal="center" vertical="center" wrapText="1"/>
      <protection hidden="1"/>
    </xf>
    <xf numFmtId="0" fontId="2" fillId="0" borderId="3" xfId="0" applyFont="1" applyFill="1" applyBorder="1" applyAlignment="1" applyProtection="1">
      <alignment horizontal="center" vertical="center" wrapText="1"/>
      <protection hidden="1"/>
    </xf>
    <xf numFmtId="0" fontId="11" fillId="3" borderId="37" xfId="0" applyFont="1" applyFill="1" applyBorder="1" applyAlignment="1" applyProtection="1">
      <alignment horizontal="center" vertical="center"/>
      <protection hidden="1"/>
    </xf>
    <xf numFmtId="0" fontId="11" fillId="3" borderId="38" xfId="0" applyFont="1" applyFill="1" applyBorder="1" applyAlignment="1" applyProtection="1">
      <alignment horizontal="center" vertical="center"/>
      <protection hidden="1"/>
    </xf>
    <xf numFmtId="0" fontId="11" fillId="3" borderId="39" xfId="0" applyFont="1" applyFill="1" applyBorder="1" applyAlignment="1" applyProtection="1">
      <alignment horizontal="center" vertical="center"/>
      <protection hidden="1"/>
    </xf>
    <xf numFmtId="0" fontId="39" fillId="2" borderId="16" xfId="0" applyFont="1" applyFill="1" applyBorder="1" applyAlignment="1" applyProtection="1">
      <alignment horizontal="center" vertical="center"/>
      <protection locked="0"/>
    </xf>
    <xf numFmtId="0" fontId="39" fillId="2" borderId="7" xfId="0" applyFont="1" applyFill="1" applyBorder="1" applyAlignment="1" applyProtection="1">
      <alignment horizontal="center" vertical="center"/>
      <protection locked="0"/>
    </xf>
    <xf numFmtId="0" fontId="61" fillId="0" borderId="0" xfId="0" applyFont="1" applyAlignment="1" applyProtection="1">
      <alignment vertical="center"/>
      <protection hidden="1"/>
    </xf>
    <xf numFmtId="0" fontId="38" fillId="0" borderId="0" xfId="0" applyFont="1" applyAlignment="1" applyProtection="1">
      <alignment vertical="center"/>
      <protection hidden="1"/>
    </xf>
    <xf numFmtId="0" fontId="0" fillId="0" borderId="40" xfId="0" applyBorder="1" applyAlignment="1" applyProtection="1">
      <alignment vertical="center"/>
      <protection hidden="1"/>
    </xf>
    <xf numFmtId="0" fontId="64" fillId="0" borderId="41" xfId="0" applyFont="1" applyBorder="1" applyAlignment="1" applyProtection="1">
      <alignment vertical="center" wrapText="1"/>
      <protection hidden="1"/>
    </xf>
    <xf numFmtId="0" fontId="64" fillId="0" borderId="42" xfId="0" applyFont="1" applyBorder="1" applyAlignment="1" applyProtection="1">
      <alignment vertical="center" wrapText="1"/>
      <protection hidden="1"/>
    </xf>
    <xf numFmtId="0" fontId="64" fillId="0" borderId="43" xfId="0" applyFont="1" applyBorder="1" applyAlignment="1" applyProtection="1">
      <alignment vertical="center" wrapText="1"/>
      <protection hidden="1"/>
    </xf>
    <xf numFmtId="0" fontId="0" fillId="0" borderId="41" xfId="0" applyBorder="1" applyAlignment="1" applyProtection="1">
      <alignment vertical="center" wrapText="1"/>
      <protection hidden="1"/>
    </xf>
    <xf numFmtId="0" fontId="0" fillId="0" borderId="42" xfId="0" applyBorder="1" applyAlignment="1" applyProtection="1">
      <alignment vertical="center" wrapText="1"/>
      <protection hidden="1"/>
    </xf>
    <xf numFmtId="0" fontId="0" fillId="0" borderId="43" xfId="0" applyBorder="1" applyAlignment="1" applyProtection="1">
      <alignment vertical="center" wrapText="1"/>
      <protection hidden="1"/>
    </xf>
    <xf numFmtId="0" fontId="38" fillId="0" borderId="41" xfId="0" applyFont="1" applyBorder="1" applyAlignment="1" applyProtection="1">
      <alignment vertical="center" wrapText="1"/>
      <protection hidden="1"/>
    </xf>
    <xf numFmtId="0" fontId="38" fillId="0" borderId="42" xfId="0" applyFont="1" applyBorder="1" applyAlignment="1" applyProtection="1">
      <alignment vertical="center" wrapText="1"/>
      <protection hidden="1"/>
    </xf>
    <xf numFmtId="0" fontId="38" fillId="0" borderId="43" xfId="0" applyFont="1" applyBorder="1" applyAlignment="1" applyProtection="1">
      <alignment vertical="center" wrapText="1"/>
      <protection hidden="1"/>
    </xf>
    <xf numFmtId="0" fontId="18" fillId="3" borderId="41" xfId="0" applyFont="1" applyFill="1" applyBorder="1" applyAlignment="1" applyProtection="1">
      <alignment horizontal="center" vertical="center"/>
      <protection hidden="1"/>
    </xf>
    <xf numFmtId="0" fontId="18" fillId="3" borderId="42" xfId="0" applyFont="1" applyFill="1" applyBorder="1" applyAlignment="1" applyProtection="1">
      <alignment horizontal="center" vertical="center"/>
      <protection hidden="1"/>
    </xf>
    <xf numFmtId="0" fontId="18" fillId="3" borderId="43" xfId="0" applyFont="1" applyFill="1" applyBorder="1" applyAlignment="1" applyProtection="1">
      <alignment horizontal="center" vertical="center"/>
      <protection hidden="1"/>
    </xf>
    <xf numFmtId="0" fontId="0" fillId="0" borderId="41" xfId="0" applyBorder="1" applyAlignment="1" applyProtection="1">
      <alignment vertical="center"/>
      <protection hidden="1"/>
    </xf>
    <xf numFmtId="0" fontId="0" fillId="0" borderId="42" xfId="0" applyBorder="1" applyAlignment="1" applyProtection="1">
      <alignment vertical="center"/>
      <protection hidden="1"/>
    </xf>
    <xf numFmtId="0" fontId="0" fillId="0" borderId="43" xfId="0" applyBorder="1" applyAlignment="1" applyProtection="1">
      <alignment vertical="center"/>
      <protection hidden="1"/>
    </xf>
    <xf numFmtId="0" fontId="11" fillId="0" borderId="41" xfId="0" applyFont="1" applyBorder="1" applyAlignment="1" applyProtection="1">
      <alignment wrapText="1"/>
      <protection hidden="1"/>
    </xf>
    <xf numFmtId="0" fontId="0" fillId="0" borderId="42" xfId="0" applyBorder="1" applyAlignment="1" applyProtection="1">
      <alignment wrapText="1"/>
      <protection hidden="1"/>
    </xf>
    <xf numFmtId="0" fontId="0" fillId="0" borderId="43" xfId="0" applyBorder="1" applyAlignment="1" applyProtection="1">
      <alignment wrapText="1"/>
      <protection hidden="1"/>
    </xf>
    <xf numFmtId="0" fontId="63" fillId="0" borderId="42" xfId="1" applyFont="1" applyBorder="1" applyAlignment="1" applyProtection="1">
      <alignment vertical="center"/>
      <protection hidden="1"/>
    </xf>
    <xf numFmtId="0" fontId="63" fillId="0" borderId="42" xfId="1" applyFont="1" applyBorder="1" applyAlignment="1" applyProtection="1">
      <alignment vertical="center"/>
    </xf>
    <xf numFmtId="0" fontId="63" fillId="0" borderId="43" xfId="1" applyFont="1" applyBorder="1" applyAlignment="1" applyProtection="1">
      <alignment vertical="center"/>
    </xf>
    <xf numFmtId="0" fontId="38" fillId="0" borderId="41" xfId="0" applyFont="1" applyBorder="1" applyAlignment="1" applyProtection="1">
      <alignment vertical="center"/>
      <protection hidden="1"/>
    </xf>
    <xf numFmtId="0" fontId="0" fillId="0" borderId="42" xfId="0" applyBorder="1" applyAlignment="1"/>
    <xf numFmtId="0" fontId="2" fillId="0" borderId="0" xfId="0" applyFont="1" applyAlignment="1" applyProtection="1">
      <alignment horizontal="right" vertical="center" wrapText="1"/>
      <protection hidden="1"/>
    </xf>
    <xf numFmtId="0" fontId="2" fillId="0" borderId="0" xfId="0" applyFont="1" applyBorder="1" applyAlignment="1" applyProtection="1">
      <alignment horizontal="right" vertical="center" wrapText="1"/>
      <protection hidden="1"/>
    </xf>
    <xf numFmtId="0" fontId="69" fillId="0" borderId="24" xfId="0" applyFont="1" applyBorder="1" applyAlignment="1" applyProtection="1">
      <alignment horizontal="left" vertical="center" indent="2"/>
      <protection hidden="1"/>
    </xf>
    <xf numFmtId="0" fontId="68" fillId="0" borderId="0" xfId="0" applyFont="1" applyAlignment="1">
      <alignment horizontal="left" vertical="center" indent="2"/>
    </xf>
    <xf numFmtId="0" fontId="3" fillId="0" borderId="0" xfId="0" applyFont="1" applyAlignment="1" applyProtection="1">
      <alignment horizontal="right" vertical="center"/>
      <protection hidden="1"/>
    </xf>
    <xf numFmtId="0" fontId="3" fillId="0" borderId="0" xfId="0" applyFont="1" applyBorder="1" applyAlignment="1" applyProtection="1">
      <alignment horizontal="right" vertical="center"/>
      <protection hidden="1"/>
    </xf>
    <xf numFmtId="0" fontId="69" fillId="0" borderId="24" xfId="0" applyFont="1" applyBorder="1" applyAlignment="1" applyProtection="1">
      <alignment horizontal="left" vertical="center" indent="2" shrinkToFit="1"/>
      <protection hidden="1"/>
    </xf>
    <xf numFmtId="0" fontId="69" fillId="0" borderId="0" xfId="0" applyFont="1" applyAlignment="1" applyProtection="1">
      <alignment horizontal="left" vertical="center" indent="2" shrinkToFit="1"/>
      <protection hidden="1"/>
    </xf>
    <xf numFmtId="0" fontId="3" fillId="0" borderId="0" xfId="0" applyFont="1" applyBorder="1" applyAlignment="1" applyProtection="1">
      <alignment horizontal="right" vertical="center" wrapText="1"/>
      <protection hidden="1"/>
    </xf>
    <xf numFmtId="0" fontId="0" fillId="0" borderId="0" xfId="0" applyAlignment="1">
      <alignment vertical="center" wrapText="1"/>
    </xf>
    <xf numFmtId="0" fontId="46" fillId="0" borderId="24" xfId="0" applyFont="1" applyBorder="1" applyAlignment="1" applyProtection="1">
      <alignment horizontal="left" vertical="center"/>
      <protection hidden="1"/>
    </xf>
    <xf numFmtId="0" fontId="46" fillId="0" borderId="0" xfId="0" applyFont="1" applyAlignment="1">
      <alignment horizontal="left" vertical="center"/>
    </xf>
    <xf numFmtId="0" fontId="4" fillId="0" borderId="62" xfId="0" applyFont="1" applyBorder="1" applyAlignment="1" applyProtection="1">
      <alignment horizontal="left" vertical="center" wrapText="1" indent="2"/>
      <protection hidden="1"/>
    </xf>
    <xf numFmtId="0" fontId="4" fillId="0" borderId="0" xfId="0" applyFont="1" applyBorder="1" applyAlignment="1" applyProtection="1">
      <alignment horizontal="left" vertical="center" wrapText="1" indent="2"/>
      <protection hidden="1"/>
    </xf>
    <xf numFmtId="0" fontId="68" fillId="0" borderId="63" xfId="0" applyFont="1" applyBorder="1" applyAlignment="1">
      <alignment horizontal="left" vertical="center" indent="2"/>
    </xf>
    <xf numFmtId="0" fontId="3" fillId="0" borderId="0" xfId="0" applyFont="1" applyAlignment="1" applyProtection="1">
      <alignment horizontal="right" vertical="center" wrapText="1"/>
      <protection hidden="1"/>
    </xf>
    <xf numFmtId="49" fontId="14" fillId="2" borderId="44" xfId="0" applyNumberFormat="1" applyFont="1" applyFill="1" applyBorder="1" applyAlignment="1" applyProtection="1">
      <alignment horizontal="center" vertical="center"/>
      <protection locked="0"/>
    </xf>
    <xf numFmtId="49" fontId="0" fillId="0" borderId="45" xfId="0" applyNumberFormat="1" applyBorder="1" applyAlignment="1" applyProtection="1">
      <alignment horizontal="center" vertical="center"/>
      <protection locked="0"/>
    </xf>
    <xf numFmtId="49" fontId="0" fillId="0" borderId="46" xfId="0" applyNumberFormat="1" applyBorder="1" applyAlignment="1" applyProtection="1">
      <alignment horizontal="center" vertical="center"/>
      <protection locked="0"/>
    </xf>
    <xf numFmtId="0" fontId="40" fillId="0" borderId="0" xfId="0" applyFont="1" applyAlignment="1">
      <alignment horizontal="right" vertical="center" wrapText="1"/>
    </xf>
    <xf numFmtId="0" fontId="3" fillId="0" borderId="0" xfId="0" applyFont="1" applyBorder="1" applyAlignment="1">
      <alignment horizontal="right" vertical="center" wrapText="1"/>
    </xf>
    <xf numFmtId="0" fontId="15" fillId="0" borderId="9" xfId="0" applyFont="1" applyBorder="1" applyAlignment="1">
      <alignment vertical="center"/>
    </xf>
    <xf numFmtId="0" fontId="0" fillId="0" borderId="9" xfId="0" applyBorder="1" applyAlignment="1">
      <alignment vertical="center"/>
    </xf>
    <xf numFmtId="0" fontId="14" fillId="2" borderId="44" xfId="0" applyFont="1" applyFill="1" applyBorder="1" applyAlignment="1" applyProtection="1">
      <alignment horizontal="left" vertical="center" shrinkToFit="1"/>
      <protection locked="0"/>
    </xf>
    <xf numFmtId="0" fontId="0" fillId="0" borderId="45" xfId="0" applyBorder="1" applyAlignment="1" applyProtection="1">
      <alignment vertical="center" shrinkToFit="1"/>
      <protection locked="0"/>
    </xf>
    <xf numFmtId="0" fontId="0" fillId="0" borderId="46" xfId="0" applyBorder="1" applyAlignment="1" applyProtection="1">
      <alignment vertical="center" shrinkToFit="1"/>
      <protection locked="0"/>
    </xf>
    <xf numFmtId="0" fontId="8" fillId="0" borderId="24" xfId="0" applyFont="1" applyBorder="1" applyAlignment="1">
      <alignment vertical="center"/>
    </xf>
    <xf numFmtId="0" fontId="0" fillId="0" borderId="0" xfId="0" applyAlignment="1">
      <alignment vertical="center"/>
    </xf>
    <xf numFmtId="0" fontId="69" fillId="0" borderId="0" xfId="0" applyFont="1" applyBorder="1" applyAlignment="1" applyProtection="1">
      <alignment horizontal="left" vertical="top" wrapText="1" indent="2"/>
      <protection hidden="1"/>
    </xf>
    <xf numFmtId="0" fontId="69" fillId="0" borderId="0" xfId="0" applyFont="1" applyAlignment="1">
      <alignment horizontal="left" vertical="top" wrapText="1" indent="2"/>
    </xf>
    <xf numFmtId="0" fontId="14" fillId="2" borderId="44" xfId="0" applyFont="1" applyFill="1" applyBorder="1" applyAlignment="1" applyProtection="1">
      <alignment horizontal="left" vertical="center"/>
      <protection locked="0"/>
    </xf>
    <xf numFmtId="0" fontId="14" fillId="0" borderId="45" xfId="0" applyFont="1" applyBorder="1" applyAlignment="1" applyProtection="1">
      <alignment horizontal="left" vertical="center"/>
      <protection locked="0"/>
    </xf>
    <xf numFmtId="0" fontId="14" fillId="0" borderId="46" xfId="0" applyFont="1" applyBorder="1" applyAlignment="1" applyProtection="1">
      <alignment horizontal="left" vertical="center"/>
      <protection locked="0"/>
    </xf>
    <xf numFmtId="49" fontId="14" fillId="0" borderId="46" xfId="0" applyNumberFormat="1" applyFont="1" applyBorder="1" applyAlignment="1" applyProtection="1">
      <alignment horizontal="center" vertical="center"/>
      <protection locked="0"/>
    </xf>
    <xf numFmtId="0" fontId="0" fillId="0" borderId="0" xfId="0" applyBorder="1" applyAlignment="1">
      <alignment vertical="center" wrapText="1"/>
    </xf>
    <xf numFmtId="0" fontId="0" fillId="0" borderId="0" xfId="0" applyBorder="1" applyAlignment="1">
      <alignment horizontal="right" vertical="center" wrapText="1"/>
    </xf>
    <xf numFmtId="0" fontId="4" fillId="0" borderId="2" xfId="0" applyFont="1" applyBorder="1" applyAlignment="1" applyProtection="1">
      <alignment horizontal="left" vertical="center" wrapText="1" indent="2"/>
      <protection hidden="1"/>
    </xf>
    <xf numFmtId="0" fontId="4" fillId="0" borderId="0" xfId="0" applyFont="1" applyAlignment="1">
      <alignment horizontal="left" vertical="center" wrapText="1" indent="2"/>
    </xf>
    <xf numFmtId="0" fontId="8" fillId="0" borderId="61" xfId="0" applyFont="1" applyBorder="1" applyAlignment="1" applyProtection="1">
      <alignment vertical="center"/>
      <protection hidden="1"/>
    </xf>
    <xf numFmtId="0" fontId="0" fillId="0" borderId="61" xfId="0" applyBorder="1" applyAlignment="1">
      <alignment vertical="center"/>
    </xf>
    <xf numFmtId="0" fontId="0" fillId="0" borderId="0" xfId="0" applyBorder="1" applyAlignment="1">
      <alignment vertical="center"/>
    </xf>
    <xf numFmtId="0" fontId="8" fillId="0" borderId="61" xfId="0" applyFont="1" applyBorder="1" applyAlignment="1">
      <alignment vertical="center"/>
    </xf>
    <xf numFmtId="0" fontId="22" fillId="0" borderId="0" xfId="0" applyFont="1" applyBorder="1" applyAlignment="1" applyProtection="1">
      <alignment horizontal="left" vertical="center"/>
      <protection hidden="1"/>
    </xf>
    <xf numFmtId="0" fontId="0" fillId="0" borderId="45" xfId="0" applyBorder="1" applyAlignment="1" applyProtection="1">
      <alignment horizontal="left" vertical="center"/>
      <protection locked="0"/>
    </xf>
    <xf numFmtId="0" fontId="0" fillId="0" borderId="46" xfId="0" applyBorder="1" applyAlignment="1" applyProtection="1">
      <alignment horizontal="left" vertical="center"/>
      <protection locked="0"/>
    </xf>
    <xf numFmtId="0" fontId="3" fillId="0" borderId="0" xfId="0" applyFont="1" applyAlignment="1">
      <alignment horizontal="right" vertical="center"/>
    </xf>
    <xf numFmtId="0" fontId="8" fillId="0" borderId="0" xfId="0" applyFont="1" applyAlignment="1">
      <alignment horizontal="right" vertical="center" shrinkToFit="1"/>
    </xf>
    <xf numFmtId="49" fontId="14" fillId="0" borderId="45" xfId="0" applyNumberFormat="1" applyFont="1" applyBorder="1" applyAlignment="1" applyProtection="1">
      <alignment horizontal="center" vertical="center"/>
      <protection locked="0"/>
    </xf>
    <xf numFmtId="0" fontId="69" fillId="0" borderId="24" xfId="0" applyFont="1" applyBorder="1" applyAlignment="1" applyProtection="1">
      <alignment horizontal="left" vertical="center" wrapText="1" indent="2"/>
      <protection hidden="1"/>
    </xf>
    <xf numFmtId="0" fontId="69" fillId="0" borderId="0" xfId="0" applyFont="1" applyAlignment="1">
      <alignment horizontal="left" vertical="center" wrapText="1" indent="2"/>
    </xf>
    <xf numFmtId="0" fontId="69" fillId="0" borderId="0" xfId="0" applyFont="1" applyBorder="1" applyAlignment="1">
      <alignment horizontal="left" vertical="center" wrapText="1" indent="2"/>
    </xf>
    <xf numFmtId="0" fontId="69" fillId="0" borderId="0" xfId="0" applyFont="1" applyBorder="1" applyAlignment="1" applyProtection="1">
      <alignment horizontal="left" vertical="center" indent="2" shrinkToFit="1"/>
      <protection hidden="1"/>
    </xf>
    <xf numFmtId="0" fontId="15" fillId="0" borderId="0" xfId="0" applyFont="1" applyBorder="1" applyAlignment="1" applyProtection="1">
      <alignment vertical="center" wrapText="1"/>
      <protection hidden="1"/>
    </xf>
    <xf numFmtId="0" fontId="0" fillId="0" borderId="0" xfId="0" applyAlignment="1" applyProtection="1">
      <alignment vertical="center" wrapText="1"/>
      <protection hidden="1"/>
    </xf>
    <xf numFmtId="0" fontId="8" fillId="0" borderId="24" xfId="0" applyFont="1" applyBorder="1" applyAlignment="1" applyProtection="1">
      <alignment horizontal="left" vertical="center"/>
      <protection hidden="1"/>
    </xf>
    <xf numFmtId="0" fontId="8" fillId="0" borderId="60" xfId="0" applyFont="1" applyBorder="1" applyAlignment="1" applyProtection="1">
      <alignment horizontal="left" vertical="center"/>
      <protection hidden="1"/>
    </xf>
    <xf numFmtId="0" fontId="3" fillId="0" borderId="24" xfId="0" applyFont="1" applyBorder="1" applyAlignment="1">
      <alignment horizontal="right" vertical="center"/>
    </xf>
    <xf numFmtId="0" fontId="3" fillId="0" borderId="60" xfId="0" applyFont="1" applyBorder="1" applyAlignment="1">
      <alignment horizontal="right" vertical="center"/>
    </xf>
    <xf numFmtId="0" fontId="13" fillId="0" borderId="45" xfId="0" applyFont="1" applyBorder="1" applyAlignment="1" applyProtection="1">
      <alignment horizontal="left" vertical="center"/>
      <protection locked="0"/>
    </xf>
    <xf numFmtId="0" fontId="13" fillId="0" borderId="46" xfId="0" applyFont="1" applyBorder="1" applyAlignment="1" applyProtection="1">
      <alignment horizontal="left" vertical="center"/>
      <protection locked="0"/>
    </xf>
    <xf numFmtId="0" fontId="69" fillId="0" borderId="0" xfId="0" applyFont="1" applyBorder="1" applyAlignment="1" applyProtection="1">
      <alignment vertical="center"/>
      <protection hidden="1"/>
    </xf>
    <xf numFmtId="0" fontId="14" fillId="2" borderId="44" xfId="0" applyFont="1" applyFill="1" applyBorder="1" applyAlignment="1" applyProtection="1">
      <alignment vertical="center" shrinkToFit="1"/>
      <protection locked="0"/>
    </xf>
    <xf numFmtId="0" fontId="45" fillId="0" borderId="59" xfId="0" applyFont="1" applyBorder="1" applyAlignment="1" applyProtection="1">
      <alignment horizontal="center" vertical="center"/>
      <protection hidden="1"/>
    </xf>
    <xf numFmtId="0" fontId="45" fillId="0" borderId="59" xfId="0" applyFont="1" applyBorder="1" applyAlignment="1" applyProtection="1">
      <alignment vertical="center"/>
      <protection hidden="1"/>
    </xf>
    <xf numFmtId="0" fontId="0" fillId="0" borderId="60" xfId="0" applyBorder="1" applyAlignment="1">
      <alignment horizontal="right" vertical="center" wrapText="1"/>
    </xf>
    <xf numFmtId="49" fontId="14" fillId="2" borderId="44" xfId="0" applyNumberFormat="1" applyFont="1" applyFill="1" applyBorder="1" applyAlignment="1" applyProtection="1">
      <alignment horizontal="left" vertical="center"/>
      <protection locked="0"/>
    </xf>
    <xf numFmtId="49" fontId="14" fillId="0" borderId="45" xfId="0" applyNumberFormat="1" applyFont="1" applyBorder="1" applyAlignment="1" applyProtection="1">
      <alignment horizontal="left" vertical="center"/>
      <protection locked="0"/>
    </xf>
    <xf numFmtId="49" fontId="14" fillId="0" borderId="46" xfId="0" applyNumberFormat="1" applyFont="1" applyBorder="1" applyAlignment="1" applyProtection="1">
      <alignment horizontal="left" vertical="center"/>
      <protection locked="0"/>
    </xf>
    <xf numFmtId="0" fontId="45" fillId="0" borderId="61" xfId="0" applyFont="1" applyBorder="1" applyAlignment="1" applyProtection="1">
      <alignment horizontal="center" vertical="center"/>
      <protection hidden="1"/>
    </xf>
    <xf numFmtId="0" fontId="0" fillId="0" borderId="61" xfId="0" applyBorder="1" applyAlignment="1">
      <alignment horizontal="center" vertical="center"/>
    </xf>
    <xf numFmtId="49" fontId="6" fillId="2" borderId="44" xfId="1" applyNumberFormat="1" applyFill="1" applyBorder="1" applyAlignment="1" applyProtection="1">
      <alignment horizontal="left" vertical="center"/>
      <protection locked="0"/>
    </xf>
    <xf numFmtId="0" fontId="8" fillId="0" borderId="0" xfId="0" applyFont="1" applyAlignment="1" applyProtection="1">
      <alignment vertical="center"/>
      <protection hidden="1"/>
    </xf>
    <xf numFmtId="14" fontId="39" fillId="2" borderId="50" xfId="0" applyNumberFormat="1" applyFont="1" applyFill="1" applyBorder="1" applyAlignment="1" applyProtection="1">
      <alignment horizontal="center" vertical="center"/>
      <protection locked="0"/>
    </xf>
    <xf numFmtId="14" fontId="67" fillId="2" borderId="51" xfId="0" applyNumberFormat="1" applyFont="1" applyFill="1" applyBorder="1" applyAlignment="1" applyProtection="1">
      <alignment horizontal="center" vertical="center"/>
      <protection locked="0"/>
    </xf>
    <xf numFmtId="0" fontId="10" fillId="10" borderId="53" xfId="0" applyFont="1" applyFill="1" applyBorder="1" applyAlignment="1" applyProtection="1">
      <alignment horizontal="left" vertical="center" wrapText="1"/>
      <protection hidden="1"/>
    </xf>
    <xf numFmtId="0" fontId="0" fillId="10" borderId="54" xfId="0" applyFill="1" applyBorder="1" applyAlignment="1" applyProtection="1">
      <alignment horizontal="left" vertical="center" wrapText="1"/>
      <protection hidden="1"/>
    </xf>
    <xf numFmtId="0" fontId="0" fillId="10" borderId="55" xfId="0" applyFill="1" applyBorder="1" applyAlignment="1" applyProtection="1">
      <alignment horizontal="left" vertical="center" wrapText="1"/>
      <protection hidden="1"/>
    </xf>
    <xf numFmtId="0" fontId="11" fillId="0" borderId="0" xfId="0" applyFont="1" applyFill="1" applyBorder="1" applyAlignment="1" applyProtection="1">
      <alignment horizontal="right" vertical="center" shrinkToFit="1"/>
      <protection hidden="1"/>
    </xf>
    <xf numFmtId="0" fontId="0" fillId="0" borderId="31" xfId="0" applyBorder="1" applyAlignment="1">
      <alignment horizontal="right" vertical="center" shrinkToFit="1"/>
    </xf>
    <xf numFmtId="0" fontId="2" fillId="0" borderId="2" xfId="0" applyFont="1" applyFill="1" applyBorder="1" applyAlignment="1" applyProtection="1">
      <alignment vertical="center"/>
      <protection hidden="1"/>
    </xf>
    <xf numFmtId="0" fontId="24" fillId="0" borderId="2" xfId="0" applyFont="1" applyFill="1" applyBorder="1" applyAlignment="1" applyProtection="1">
      <alignment horizontal="left" vertical="center" indent="2"/>
      <protection hidden="1"/>
    </xf>
    <xf numFmtId="0" fontId="0" fillId="0" borderId="0" xfId="0" applyAlignment="1">
      <alignment horizontal="left" vertical="center" indent="2"/>
    </xf>
    <xf numFmtId="0" fontId="70" fillId="11" borderId="56" xfId="0" applyNumberFormat="1" applyFont="1" applyFill="1" applyBorder="1" applyAlignment="1" applyProtection="1">
      <alignment horizontal="center" vertical="center" wrapText="1"/>
      <protection hidden="1"/>
    </xf>
    <xf numFmtId="0" fontId="71" fillId="11" borderId="57" xfId="0" applyNumberFormat="1" applyFont="1" applyFill="1" applyBorder="1" applyAlignment="1" applyProtection="1">
      <alignment horizontal="center" vertical="center" wrapText="1"/>
      <protection hidden="1"/>
    </xf>
    <xf numFmtId="0" fontId="71" fillId="11" borderId="58" xfId="0" applyNumberFormat="1" applyFont="1" applyFill="1" applyBorder="1" applyAlignment="1" applyProtection="1">
      <alignment horizontal="center" vertical="center" wrapText="1"/>
      <protection hidden="1"/>
    </xf>
    <xf numFmtId="0" fontId="47" fillId="0" borderId="47" xfId="0" applyFont="1" applyBorder="1" applyAlignment="1" applyProtection="1">
      <alignment horizontal="center" vertical="center"/>
      <protection hidden="1"/>
    </xf>
    <xf numFmtId="0" fontId="48" fillId="0" borderId="48" xfId="0" applyFont="1" applyBorder="1" applyAlignment="1" applyProtection="1">
      <alignment horizontal="center" vertical="center"/>
      <protection hidden="1"/>
    </xf>
    <xf numFmtId="0" fontId="48" fillId="0" borderId="49" xfId="0" applyFont="1" applyBorder="1" applyAlignment="1" applyProtection="1">
      <alignment horizontal="center" vertical="center"/>
      <protection hidden="1"/>
    </xf>
    <xf numFmtId="0" fontId="39" fillId="0" borderId="47" xfId="0" applyFont="1" applyBorder="1" applyAlignment="1" applyProtection="1">
      <alignment horizontal="center" vertical="center"/>
      <protection hidden="1"/>
    </xf>
    <xf numFmtId="0" fontId="0" fillId="0" borderId="49" xfId="0" applyBorder="1" applyAlignment="1">
      <alignment horizontal="center" vertical="center"/>
    </xf>
    <xf numFmtId="0" fontId="35" fillId="0" borderId="0" xfId="0" applyFont="1" applyBorder="1" applyAlignment="1" applyProtection="1">
      <alignment horizontal="left" vertical="center"/>
      <protection hidden="1"/>
    </xf>
    <xf numFmtId="0" fontId="36" fillId="0" borderId="0" xfId="0" applyFont="1" applyAlignment="1" applyProtection="1">
      <alignment vertical="center"/>
      <protection hidden="1"/>
    </xf>
    <xf numFmtId="4" fontId="26" fillId="9" borderId="50" xfId="0" applyNumberFormat="1" applyFont="1" applyFill="1" applyBorder="1" applyAlignment="1" applyProtection="1">
      <alignment horizontal="center" vertical="center"/>
      <protection hidden="1"/>
    </xf>
    <xf numFmtId="4" fontId="26" fillId="4" borderId="14" xfId="0" applyNumberFormat="1" applyFont="1" applyFill="1" applyBorder="1" applyAlignment="1" applyProtection="1">
      <alignment horizontal="center" vertical="center"/>
      <protection hidden="1"/>
    </xf>
    <xf numFmtId="4" fontId="26" fillId="4" borderId="51" xfId="0" applyNumberFormat="1" applyFont="1" applyFill="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0" fillId="0" borderId="0" xfId="0" applyAlignment="1">
      <alignment horizontal="center" vertical="center"/>
    </xf>
    <xf numFmtId="1" fontId="27" fillId="2" borderId="50" xfId="0" applyNumberFormat="1" applyFont="1" applyFill="1" applyBorder="1" applyAlignment="1" applyProtection="1">
      <alignment horizontal="center" vertical="center" shrinkToFit="1"/>
      <protection locked="0"/>
    </xf>
    <xf numFmtId="1" fontId="27" fillId="2" borderId="51" xfId="0" applyNumberFormat="1" applyFont="1" applyFill="1" applyBorder="1" applyAlignment="1" applyProtection="1">
      <alignment horizontal="center" vertical="center" shrinkToFit="1"/>
      <protection locked="0"/>
    </xf>
    <xf numFmtId="0" fontId="0" fillId="0" borderId="52" xfId="0" applyBorder="1" applyAlignment="1">
      <alignment vertical="center"/>
    </xf>
    <xf numFmtId="49" fontId="14" fillId="2" borderId="46" xfId="0" applyNumberFormat="1" applyFont="1" applyFill="1" applyBorder="1" applyAlignment="1" applyProtection="1">
      <alignment horizontal="center" vertical="center"/>
      <protection locked="0"/>
    </xf>
    <xf numFmtId="0" fontId="27" fillId="0" borderId="0" xfId="0" applyFont="1" applyBorder="1" applyAlignment="1" applyProtection="1">
      <alignment horizontal="center" vertical="center" wrapText="1"/>
      <protection hidden="1"/>
    </xf>
    <xf numFmtId="0" fontId="28" fillId="0" borderId="0" xfId="0" applyFont="1" applyBorder="1" applyAlignment="1" applyProtection="1">
      <alignment horizontal="center" vertical="center"/>
      <protection hidden="1"/>
    </xf>
    <xf numFmtId="0" fontId="7"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5" fillId="0" borderId="0" xfId="0" applyFont="1" applyBorder="1" applyAlignment="1" applyProtection="1">
      <alignment horizontal="center" vertical="center"/>
      <protection hidden="1"/>
    </xf>
    <xf numFmtId="0" fontId="3" fillId="0" borderId="25" xfId="0" applyFont="1" applyBorder="1" applyAlignment="1" applyProtection="1">
      <alignment horizontal="right" vertical="center"/>
      <protection hidden="1"/>
    </xf>
    <xf numFmtId="0" fontId="0" fillId="0" borderId="0" xfId="0" applyAlignment="1">
      <alignment horizontal="right" vertical="center"/>
    </xf>
    <xf numFmtId="0" fontId="69" fillId="0" borderId="0" xfId="0" applyFont="1" applyBorder="1" applyAlignment="1" applyProtection="1">
      <alignment horizontal="left" vertical="center" wrapText="1" indent="2"/>
      <protection hidden="1"/>
    </xf>
    <xf numFmtId="0" fontId="8" fillId="0" borderId="0" xfId="0" applyFont="1" applyBorder="1" applyAlignment="1" applyProtection="1">
      <alignment horizontal="left" vertical="center"/>
      <protection hidden="1"/>
    </xf>
    <xf numFmtId="0" fontId="39" fillId="2" borderId="44" xfId="1" applyFont="1" applyFill="1" applyBorder="1" applyAlignment="1" applyProtection="1">
      <alignment vertical="center"/>
      <protection locked="0"/>
    </xf>
    <xf numFmtId="0" fontId="39" fillId="0" borderId="45" xfId="0" applyFont="1" applyBorder="1" applyAlignment="1" applyProtection="1">
      <alignment vertical="center"/>
      <protection locked="0"/>
    </xf>
    <xf numFmtId="0" fontId="39" fillId="0" borderId="46" xfId="0" applyFont="1" applyBorder="1" applyAlignment="1" applyProtection="1">
      <alignment vertical="center"/>
      <protection locked="0"/>
    </xf>
    <xf numFmtId="0" fontId="5"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41" fillId="0" borderId="5" xfId="0" applyFont="1" applyFill="1" applyBorder="1" applyAlignment="1">
      <alignment horizontal="left" vertical="center" wrapText="1"/>
    </xf>
    <xf numFmtId="0" fontId="14" fillId="5" borderId="64" xfId="0" applyFont="1" applyFill="1" applyBorder="1" applyAlignment="1" applyProtection="1">
      <alignment horizontal="center" vertical="center" wrapText="1"/>
      <protection hidden="1"/>
    </xf>
    <xf numFmtId="0" fontId="15" fillId="5" borderId="65"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55" fillId="0" borderId="0" xfId="0" applyFont="1" applyBorder="1" applyAlignment="1" applyProtection="1">
      <alignment horizontal="center" vertical="center" wrapText="1"/>
      <protection hidden="1"/>
    </xf>
    <xf numFmtId="0" fontId="55" fillId="0" borderId="23" xfId="0" applyFont="1" applyBorder="1" applyAlignment="1" applyProtection="1">
      <alignment horizontal="center" vertical="center" wrapText="1"/>
      <protection hidden="1"/>
    </xf>
    <xf numFmtId="0" fontId="14" fillId="0" borderId="0" xfId="0" applyFont="1" applyFill="1" applyBorder="1" applyAlignment="1" applyProtection="1">
      <alignment horizontal="center" vertical="top" wrapText="1"/>
      <protection hidden="1"/>
    </xf>
    <xf numFmtId="0" fontId="38" fillId="0" borderId="0" xfId="0" applyFont="1" applyBorder="1" applyAlignment="1" applyProtection="1">
      <alignment horizontal="center" vertical="top" wrapText="1"/>
      <protection hidden="1"/>
    </xf>
    <xf numFmtId="0" fontId="38" fillId="0" borderId="23" xfId="0" applyFont="1" applyBorder="1" applyAlignment="1" applyProtection="1">
      <alignment horizontal="center" vertical="top" wrapText="1"/>
      <protection hidden="1"/>
    </xf>
    <xf numFmtId="0" fontId="12" fillId="2" borderId="41" xfId="0" applyFont="1" applyFill="1" applyBorder="1" applyAlignment="1" applyProtection="1">
      <alignment vertical="center" wrapText="1"/>
      <protection hidden="1"/>
    </xf>
    <xf numFmtId="0" fontId="12" fillId="2" borderId="42" xfId="0" applyFont="1" applyFill="1" applyBorder="1" applyAlignment="1" applyProtection="1">
      <alignment vertical="center" wrapText="1"/>
      <protection hidden="1"/>
    </xf>
    <xf numFmtId="0" fontId="12" fillId="2" borderId="43" xfId="0" applyFont="1" applyFill="1" applyBorder="1" applyAlignment="1" applyProtection="1">
      <alignment vertical="center" wrapText="1"/>
      <protection hidden="1"/>
    </xf>
    <xf numFmtId="0" fontId="30" fillId="6" borderId="66" xfId="0" applyFont="1" applyFill="1" applyBorder="1" applyAlignment="1" applyProtection="1">
      <alignment horizontal="center" vertical="center" wrapText="1"/>
      <protection hidden="1"/>
    </xf>
    <xf numFmtId="0" fontId="30" fillId="6" borderId="17" xfId="0" applyFont="1" applyFill="1" applyBorder="1" applyAlignment="1" applyProtection="1">
      <alignment horizontal="center" vertical="center" wrapText="1"/>
      <protection hidden="1"/>
    </xf>
    <xf numFmtId="0" fontId="31" fillId="6" borderId="67" xfId="0" applyFont="1" applyFill="1" applyBorder="1" applyAlignment="1" applyProtection="1">
      <alignment horizontal="center" vertical="center" wrapText="1"/>
      <protection hidden="1"/>
    </xf>
    <xf numFmtId="0" fontId="31" fillId="6" borderId="19" xfId="0" applyFont="1" applyFill="1" applyBorder="1" applyAlignment="1" applyProtection="1">
      <alignment horizontal="center" vertical="center" wrapText="1"/>
      <protection hidden="1"/>
    </xf>
    <xf numFmtId="0" fontId="12" fillId="3" borderId="3" xfId="0" applyFont="1" applyFill="1" applyBorder="1" applyAlignment="1">
      <alignment horizontal="left" vertical="center" wrapText="1"/>
    </xf>
    <xf numFmtId="0" fontId="43" fillId="3" borderId="3" xfId="0" applyFont="1" applyFill="1" applyBorder="1" applyAlignment="1">
      <alignment horizontal="left" vertical="center" wrapText="1"/>
    </xf>
    <xf numFmtId="0" fontId="43" fillId="3" borderId="3" xfId="0" applyFont="1" applyFill="1" applyBorder="1" applyAlignment="1">
      <alignment vertical="center"/>
    </xf>
    <xf numFmtId="0" fontId="12" fillId="0" borderId="5" xfId="0" applyFont="1" applyFill="1" applyBorder="1" applyAlignment="1">
      <alignment horizontal="left" vertical="center" wrapText="1" inden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3" borderId="3" xfId="0" applyFont="1" applyFill="1" applyBorder="1" applyAlignment="1">
      <alignment vertical="center" wrapText="1"/>
    </xf>
    <xf numFmtId="0" fontId="12" fillId="0" borderId="4"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42" fillId="0" borderId="4" xfId="0" applyFont="1" applyFill="1" applyBorder="1" applyAlignment="1">
      <alignment horizontal="left" vertical="center" wrapText="1"/>
    </xf>
    <xf numFmtId="0" fontId="12" fillId="12" borderId="41" xfId="0" applyFont="1" applyFill="1" applyBorder="1" applyAlignment="1" applyProtection="1">
      <alignment vertical="center" wrapText="1"/>
      <protection hidden="1"/>
    </xf>
    <xf numFmtId="0" fontId="12" fillId="12" borderId="42" xfId="0" applyFont="1" applyFill="1" applyBorder="1" applyAlignment="1" applyProtection="1">
      <alignment vertical="center" wrapText="1"/>
      <protection hidden="1"/>
    </xf>
    <xf numFmtId="0" fontId="12" fillId="12" borderId="43" xfId="0" applyFont="1" applyFill="1" applyBorder="1" applyAlignment="1" applyProtection="1">
      <alignment vertical="center" wrapText="1"/>
      <protection hidden="1"/>
    </xf>
    <xf numFmtId="0" fontId="54" fillId="0" borderId="0" xfId="0" applyFont="1" applyBorder="1" applyAlignment="1" applyProtection="1">
      <alignment horizontal="center" vertical="center" wrapText="1"/>
      <protection hidden="1"/>
    </xf>
    <xf numFmtId="0" fontId="54" fillId="0" borderId="23" xfId="0" applyFont="1" applyBorder="1" applyAlignment="1" applyProtection="1">
      <alignment horizontal="center" vertical="center" wrapText="1"/>
      <protection hidden="1"/>
    </xf>
    <xf numFmtId="0" fontId="13" fillId="0" borderId="0" xfId="0" applyFont="1" applyBorder="1" applyAlignment="1" applyProtection="1">
      <alignment horizontal="center" vertical="top" wrapText="1"/>
      <protection hidden="1"/>
    </xf>
    <xf numFmtId="0" fontId="13" fillId="0" borderId="23" xfId="0" applyFont="1" applyBorder="1" applyAlignment="1" applyProtection="1">
      <alignment horizontal="center" vertical="top" wrapText="1"/>
      <protection hidden="1"/>
    </xf>
    <xf numFmtId="0" fontId="4" fillId="3" borderId="3" xfId="0" applyFont="1" applyFill="1" applyBorder="1" applyAlignment="1">
      <alignment horizontal="left" vertical="center" wrapText="1"/>
    </xf>
    <xf numFmtId="0" fontId="4" fillId="3" borderId="3" xfId="0" applyFont="1" applyFill="1" applyBorder="1" applyAlignment="1">
      <alignment vertical="center" wrapText="1"/>
    </xf>
    <xf numFmtId="0" fontId="41" fillId="0" borderId="3" xfId="0" applyFont="1" applyFill="1" applyBorder="1" applyAlignment="1">
      <alignment horizontal="left" vertical="center" wrapText="1"/>
    </xf>
    <xf numFmtId="0" fontId="5" fillId="0" borderId="5" xfId="0" applyFont="1" applyFill="1" applyBorder="1" applyAlignment="1">
      <alignment horizontal="left" vertical="center" wrapText="1" indent="1"/>
    </xf>
    <xf numFmtId="0" fontId="5" fillId="0" borderId="4" xfId="0" applyFont="1" applyBorder="1" applyAlignment="1">
      <alignment horizontal="left" vertical="center" wrapText="1" indent="1"/>
    </xf>
    <xf numFmtId="0" fontId="5" fillId="0" borderId="15" xfId="0" applyFont="1" applyFill="1" applyBorder="1" applyAlignment="1">
      <alignment horizontal="left" vertical="center" wrapText="1" indent="1"/>
    </xf>
    <xf numFmtId="0" fontId="5" fillId="0" borderId="15" xfId="0" applyFont="1" applyBorder="1" applyAlignment="1">
      <alignment horizontal="left" vertical="center" wrapText="1" indent="1"/>
    </xf>
    <xf numFmtId="0" fontId="12" fillId="13" borderId="53" xfId="0" applyFont="1" applyFill="1" applyBorder="1" applyAlignment="1">
      <alignment horizontal="left" vertical="center" shrinkToFit="1"/>
    </xf>
    <xf numFmtId="0" fontId="5" fillId="13" borderId="54" xfId="0" applyFont="1" applyFill="1" applyBorder="1" applyAlignment="1">
      <alignment horizontal="left" vertical="center" shrinkToFit="1"/>
    </xf>
    <xf numFmtId="0" fontId="5" fillId="13" borderId="55" xfId="0" applyFont="1" applyFill="1" applyBorder="1" applyAlignment="1">
      <alignment horizontal="left" vertical="center" shrinkToFit="1"/>
    </xf>
    <xf numFmtId="0" fontId="5" fillId="0" borderId="5" xfId="0" applyFont="1" applyBorder="1" applyAlignment="1">
      <alignment horizontal="left" vertical="center" wrapText="1" indent="1"/>
    </xf>
    <xf numFmtId="0" fontId="42" fillId="0" borderId="4" xfId="0" applyFont="1" applyFill="1" applyBorder="1" applyAlignment="1">
      <alignment horizontal="left" vertical="center" wrapText="1" indent="2"/>
    </xf>
    <xf numFmtId="0" fontId="42" fillId="0" borderId="4" xfId="0" applyFont="1" applyBorder="1" applyAlignment="1">
      <alignment horizontal="left" vertical="center" wrapText="1" indent="2"/>
    </xf>
    <xf numFmtId="0" fontId="5" fillId="0" borderId="16" xfId="0" applyFont="1" applyFill="1" applyBorder="1" applyAlignment="1">
      <alignment horizontal="left" vertical="center" wrapText="1" indent="1"/>
    </xf>
    <xf numFmtId="0" fontId="5" fillId="0" borderId="16" xfId="0" applyFont="1" applyBorder="1" applyAlignment="1">
      <alignment horizontal="left" vertical="center" wrapText="1" indent="1"/>
    </xf>
    <xf numFmtId="0" fontId="15" fillId="5" borderId="65" xfId="0" applyFont="1" applyFill="1" applyBorder="1" applyAlignment="1">
      <alignment horizontal="center" vertical="center" wrapText="1"/>
    </xf>
    <xf numFmtId="0" fontId="30" fillId="7" borderId="67" xfId="0" applyFont="1" applyFill="1" applyBorder="1" applyAlignment="1">
      <alignment horizontal="center" vertical="center" wrapText="1"/>
    </xf>
    <xf numFmtId="0" fontId="30" fillId="7" borderId="19" xfId="0" applyFont="1" applyFill="1" applyBorder="1" applyAlignment="1">
      <alignment horizontal="center" vertical="center" wrapText="1"/>
    </xf>
    <xf numFmtId="0" fontId="19" fillId="7" borderId="19" xfId="0" applyFont="1" applyFill="1" applyBorder="1" applyAlignment="1">
      <alignment horizontal="center" vertical="center"/>
    </xf>
    <xf numFmtId="0" fontId="12" fillId="0" borderId="41" xfId="0" applyFont="1" applyFill="1" applyBorder="1" applyAlignment="1" applyProtection="1">
      <alignment vertical="center" wrapText="1"/>
      <protection hidden="1"/>
    </xf>
    <xf numFmtId="0" fontId="12" fillId="0" borderId="42" xfId="0" applyFont="1" applyFill="1" applyBorder="1" applyAlignment="1" applyProtection="1">
      <alignment vertical="center" wrapText="1"/>
      <protection hidden="1"/>
    </xf>
    <xf numFmtId="0" fontId="12" fillId="0" borderId="43" xfId="0" applyFont="1" applyFill="1" applyBorder="1" applyAlignment="1" applyProtection="1">
      <alignment vertical="center" wrapText="1"/>
      <protection hidden="1"/>
    </xf>
    <xf numFmtId="0" fontId="30" fillId="7" borderId="66" xfId="0" applyFont="1" applyFill="1" applyBorder="1" applyAlignment="1">
      <alignment horizontal="center" vertical="center" wrapText="1"/>
    </xf>
    <xf numFmtId="0" fontId="30" fillId="7" borderId="17" xfId="0" applyFont="1" applyFill="1" applyBorder="1" applyAlignment="1">
      <alignment horizontal="center" vertical="center" wrapText="1"/>
    </xf>
    <xf numFmtId="0" fontId="19" fillId="7" borderId="17"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54" fillId="0" borderId="0" xfId="0" applyFont="1" applyBorder="1" applyAlignment="1">
      <alignment horizontal="center" vertical="center" wrapText="1"/>
    </xf>
    <xf numFmtId="0" fontId="55" fillId="0" borderId="23" xfId="0" applyFont="1" applyBorder="1" applyAlignment="1">
      <alignment horizontal="center" wrapText="1"/>
    </xf>
    <xf numFmtId="0" fontId="14" fillId="0" borderId="0" xfId="0" applyFont="1" applyFill="1" applyBorder="1" applyAlignment="1">
      <alignment horizontal="center" vertical="top" wrapText="1"/>
    </xf>
    <xf numFmtId="0" fontId="13" fillId="0" borderId="0" xfId="0" applyFont="1" applyBorder="1" applyAlignment="1">
      <alignment horizontal="center" vertical="top" wrapText="1"/>
    </xf>
    <xf numFmtId="0" fontId="38" fillId="0" borderId="23" xfId="0" applyFont="1" applyBorder="1" applyAlignment="1">
      <alignment horizontal="center" wrapText="1"/>
    </xf>
    <xf numFmtId="0" fontId="55" fillId="0" borderId="0" xfId="0" applyFont="1" applyBorder="1" applyAlignment="1">
      <alignment horizontal="center" wrapText="1"/>
    </xf>
    <xf numFmtId="0" fontId="38" fillId="0" borderId="0" xfId="0" applyFont="1" applyBorder="1" applyAlignment="1">
      <alignment horizontal="center" wrapText="1"/>
    </xf>
    <xf numFmtId="0" fontId="30" fillId="6" borderId="66" xfId="0" applyFont="1" applyFill="1" applyBorder="1" applyAlignment="1">
      <alignment horizontal="center" vertical="center" wrapText="1"/>
    </xf>
    <xf numFmtId="0" fontId="30" fillId="6" borderId="17" xfId="0" applyFont="1" applyFill="1" applyBorder="1" applyAlignment="1">
      <alignment horizontal="center" vertical="center" wrapText="1"/>
    </xf>
    <xf numFmtId="0" fontId="31" fillId="6" borderId="67"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16" fillId="0" borderId="0" xfId="0" applyFont="1" applyBorder="1" applyAlignment="1">
      <alignment horizontal="center" vertical="center" wrapText="1"/>
    </xf>
    <xf numFmtId="0" fontId="16" fillId="0" borderId="23" xfId="0" applyFont="1" applyBorder="1" applyAlignment="1">
      <alignment horizontal="center" vertical="center" wrapText="1"/>
    </xf>
    <xf numFmtId="0" fontId="16" fillId="14" borderId="70" xfId="0" applyFont="1" applyFill="1" applyBorder="1" applyAlignment="1">
      <alignment horizontal="left" vertical="center"/>
    </xf>
    <xf numFmtId="0" fontId="56" fillId="14" borderId="70" xfId="0" applyFont="1" applyFill="1" applyBorder="1" applyAlignment="1">
      <alignment vertical="center"/>
    </xf>
    <xf numFmtId="0" fontId="2" fillId="0" borderId="70" xfId="0" applyFont="1" applyBorder="1" applyAlignment="1">
      <alignment vertical="center"/>
    </xf>
    <xf numFmtId="0" fontId="16" fillId="2" borderId="41" xfId="0" applyFont="1" applyFill="1" applyBorder="1" applyAlignment="1" applyProtection="1">
      <alignment vertical="center" wrapText="1"/>
      <protection hidden="1"/>
    </xf>
    <xf numFmtId="0" fontId="16" fillId="2" borderId="42" xfId="0" applyFont="1" applyFill="1" applyBorder="1" applyAlignment="1" applyProtection="1">
      <alignment vertical="center" wrapText="1"/>
      <protection hidden="1"/>
    </xf>
    <xf numFmtId="0" fontId="2" fillId="0" borderId="42" xfId="0" applyFont="1" applyBorder="1" applyAlignment="1">
      <alignment vertical="center"/>
    </xf>
    <xf numFmtId="0" fontId="2" fillId="0" borderId="43" xfId="0" applyFont="1" applyBorder="1" applyAlignment="1">
      <alignment vertical="center"/>
    </xf>
    <xf numFmtId="0" fontId="2" fillId="0" borderId="21" xfId="0" applyFont="1" applyBorder="1"/>
    <xf numFmtId="0" fontId="14" fillId="5" borderId="65" xfId="0" applyFont="1" applyFill="1" applyBorder="1" applyAlignment="1" applyProtection="1">
      <alignment horizontal="center" vertical="center" wrapText="1"/>
      <protection hidden="1"/>
    </xf>
    <xf numFmtId="0" fontId="17" fillId="0" borderId="0" xfId="0" applyFont="1" applyFill="1" applyBorder="1" applyAlignment="1">
      <alignment horizontal="center" wrapText="1"/>
    </xf>
    <xf numFmtId="0" fontId="55" fillId="0" borderId="0" xfId="0" applyFont="1" applyAlignment="1">
      <alignment wrapText="1"/>
    </xf>
    <xf numFmtId="0" fontId="30" fillId="6" borderId="18" xfId="0" applyFont="1" applyFill="1" applyBorder="1" applyAlignment="1">
      <alignment horizontal="center" vertical="center" wrapText="1"/>
    </xf>
    <xf numFmtId="0" fontId="2" fillId="0" borderId="71" xfId="0" applyFont="1" applyBorder="1"/>
    <xf numFmtId="0" fontId="2" fillId="0" borderId="6" xfId="0" applyFont="1" applyBorder="1" applyAlignment="1">
      <alignment horizontal="left" vertical="center" wrapText="1"/>
    </xf>
    <xf numFmtId="0" fontId="11" fillId="0" borderId="6" xfId="0" applyFont="1" applyBorder="1" applyAlignment="1">
      <alignment horizontal="left" vertical="center" wrapText="1"/>
    </xf>
    <xf numFmtId="0" fontId="2" fillId="0" borderId="17"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21" xfId="0" applyFont="1" applyBorder="1" applyAlignment="1">
      <alignment horizontal="center" vertical="center" wrapText="1"/>
    </xf>
    <xf numFmtId="0" fontId="16" fillId="14" borderId="68" xfId="0" applyFont="1" applyFill="1" applyBorder="1" applyAlignment="1">
      <alignment horizontal="left" vertical="center"/>
    </xf>
    <xf numFmtId="0" fontId="2" fillId="0" borderId="68" xfId="0" applyFont="1" applyBorder="1" applyAlignment="1">
      <alignment vertical="center"/>
    </xf>
    <xf numFmtId="0" fontId="2" fillId="0" borderId="68" xfId="0" applyFont="1" applyBorder="1"/>
    <xf numFmtId="0" fontId="14" fillId="0" borderId="0" xfId="0" applyFont="1" applyFill="1" applyBorder="1" applyAlignment="1">
      <alignment horizontal="center" vertical="center" wrapText="1"/>
    </xf>
    <xf numFmtId="0" fontId="38" fillId="0" borderId="0" xfId="0" applyFont="1" applyAlignment="1">
      <alignment vertical="center" wrapText="1"/>
    </xf>
    <xf numFmtId="49" fontId="30" fillId="6" borderId="67" xfId="0" applyNumberFormat="1" applyFont="1" applyFill="1" applyBorder="1" applyAlignment="1">
      <alignment horizontal="center" vertical="center" wrapText="1"/>
    </xf>
    <xf numFmtId="49" fontId="30" fillId="6" borderId="19" xfId="0" applyNumberFormat="1" applyFont="1" applyFill="1" applyBorder="1" applyAlignment="1">
      <alignment horizontal="center" vertical="center" wrapText="1"/>
    </xf>
    <xf numFmtId="0" fontId="11" fillId="0" borderId="22" xfId="0" applyFont="1" applyBorder="1" applyAlignment="1">
      <alignment horizontal="left" vertical="center" wrapText="1"/>
    </xf>
    <xf numFmtId="0" fontId="16" fillId="0" borderId="6" xfId="0" applyFont="1" applyBorder="1" applyAlignment="1">
      <alignment horizontal="left" vertical="center" wrapText="1"/>
    </xf>
    <xf numFmtId="0" fontId="16" fillId="0" borderId="22" xfId="0" applyFont="1" applyBorder="1" applyAlignment="1">
      <alignment horizontal="left" vertical="center" wrapText="1"/>
    </xf>
    <xf numFmtId="0" fontId="2" fillId="0" borderId="4" xfId="0" applyFont="1" applyFill="1" applyBorder="1" applyAlignment="1" applyProtection="1">
      <alignment horizontal="left" vertical="center" wrapText="1"/>
      <protection hidden="1"/>
    </xf>
    <xf numFmtId="0" fontId="14" fillId="13" borderId="2" xfId="0" applyFont="1" applyFill="1" applyBorder="1" applyAlignment="1">
      <alignment horizontal="left" vertical="center" shrinkToFit="1"/>
    </xf>
    <xf numFmtId="0" fontId="15" fillId="13" borderId="0" xfId="0" applyFont="1" applyFill="1" applyBorder="1" applyAlignment="1">
      <alignment horizontal="left" vertical="center" shrinkToFit="1"/>
    </xf>
    <xf numFmtId="0" fontId="15" fillId="13" borderId="31" xfId="0" applyFont="1" applyFill="1" applyBorder="1" applyAlignment="1">
      <alignment horizontal="left" vertical="center" shrinkToFit="1"/>
    </xf>
    <xf numFmtId="0" fontId="2" fillId="0" borderId="3" xfId="0" applyFont="1" applyFill="1" applyBorder="1" applyAlignment="1" applyProtection="1">
      <alignment horizontal="left" vertical="center" wrapText="1"/>
      <protection hidden="1"/>
    </xf>
    <xf numFmtId="0" fontId="2" fillId="0" borderId="5" xfId="0" applyFont="1" applyFill="1" applyBorder="1" applyAlignment="1" applyProtection="1">
      <alignment horizontal="left" vertical="center" wrapText="1"/>
      <protection hidden="1"/>
    </xf>
    <xf numFmtId="0" fontId="19" fillId="6" borderId="2" xfId="0" applyFont="1" applyFill="1" applyBorder="1" applyAlignment="1" applyProtection="1">
      <alignment vertical="center" wrapText="1"/>
      <protection hidden="1"/>
    </xf>
    <xf numFmtId="0" fontId="19" fillId="6" borderId="0" xfId="0" applyFont="1" applyFill="1" applyBorder="1" applyAlignment="1" applyProtection="1">
      <alignment vertical="center" wrapText="1"/>
      <protection hidden="1"/>
    </xf>
    <xf numFmtId="0" fontId="19" fillId="6" borderId="31" xfId="0" applyFont="1" applyFill="1" applyBorder="1" applyAlignment="1" applyProtection="1">
      <alignment vertical="center" wrapText="1"/>
      <protection hidden="1"/>
    </xf>
    <xf numFmtId="0" fontId="2" fillId="0" borderId="78" xfId="0" applyFont="1" applyFill="1" applyBorder="1" applyAlignment="1" applyProtection="1">
      <alignment horizontal="left" vertical="center" wrapText="1"/>
      <protection hidden="1"/>
    </xf>
    <xf numFmtId="0" fontId="2" fillId="0" borderId="76" xfId="0" applyFont="1" applyFill="1" applyBorder="1" applyAlignment="1" applyProtection="1">
      <alignment horizontal="left" vertical="center" wrapText="1"/>
      <protection hidden="1"/>
    </xf>
    <xf numFmtId="0" fontId="2" fillId="0" borderId="77" xfId="0" applyFont="1" applyFill="1" applyBorder="1" applyAlignment="1" applyProtection="1">
      <alignment horizontal="left" vertical="center" wrapText="1"/>
      <protection hidden="1"/>
    </xf>
    <xf numFmtId="0" fontId="26" fillId="4" borderId="53" xfId="0" applyFont="1" applyFill="1" applyBorder="1" applyAlignment="1" applyProtection="1">
      <alignment horizontal="left" vertical="center" wrapText="1"/>
      <protection hidden="1"/>
    </xf>
    <xf numFmtId="0" fontId="15" fillId="0" borderId="54" xfId="0" applyFont="1" applyBorder="1" applyAlignment="1">
      <alignment vertical="center" wrapText="1"/>
    </xf>
    <xf numFmtId="0" fontId="15" fillId="0" borderId="2" xfId="0" applyFont="1" applyBorder="1" applyAlignment="1">
      <alignment vertical="center" wrapText="1"/>
    </xf>
    <xf numFmtId="0" fontId="15" fillId="0" borderId="0" xfId="0" applyFont="1" applyBorder="1" applyAlignment="1">
      <alignment vertical="center" wrapText="1"/>
    </xf>
    <xf numFmtId="0" fontId="15" fillId="0" borderId="50" xfId="0" applyFont="1" applyBorder="1" applyAlignment="1">
      <alignment vertical="center" wrapText="1"/>
    </xf>
    <xf numFmtId="0" fontId="15" fillId="0" borderId="14" xfId="0" applyFont="1" applyBorder="1" applyAlignment="1">
      <alignment vertical="center" wrapText="1"/>
    </xf>
    <xf numFmtId="0" fontId="2" fillId="4" borderId="14" xfId="0" applyFont="1" applyFill="1" applyBorder="1" applyAlignment="1">
      <alignment horizontal="right" vertical="center" wrapText="1"/>
    </xf>
    <xf numFmtId="0" fontId="38" fillId="4" borderId="51" xfId="0" applyFont="1" applyFill="1" applyBorder="1" applyAlignment="1">
      <alignment vertical="center" wrapText="1"/>
    </xf>
    <xf numFmtId="0" fontId="2" fillId="4" borderId="54" xfId="0" applyFont="1" applyFill="1" applyBorder="1" applyAlignment="1">
      <alignment horizontal="right" vertical="center" wrapText="1"/>
    </xf>
    <xf numFmtId="0" fontId="38" fillId="4" borderId="55" xfId="0" applyFont="1" applyFill="1" applyBorder="1" applyAlignment="1">
      <alignment vertical="center" wrapText="1"/>
    </xf>
    <xf numFmtId="0" fontId="2" fillId="4" borderId="0" xfId="0" applyFont="1" applyFill="1" applyBorder="1" applyAlignment="1">
      <alignment horizontal="right" vertical="center" wrapText="1"/>
    </xf>
    <xf numFmtId="0" fontId="38" fillId="4" borderId="31" xfId="0" applyFont="1" applyFill="1" applyBorder="1" applyAlignment="1">
      <alignment vertical="center" wrapText="1"/>
    </xf>
    <xf numFmtId="0" fontId="33" fillId="12" borderId="75" xfId="0" applyFont="1" applyFill="1" applyBorder="1" applyAlignment="1" applyProtection="1">
      <alignment horizontal="center" vertical="center" wrapText="1"/>
      <protection hidden="1"/>
    </xf>
    <xf numFmtId="0" fontId="0" fillId="0" borderId="16" xfId="0" applyBorder="1" applyAlignment="1">
      <alignment vertical="center" wrapText="1"/>
    </xf>
    <xf numFmtId="0" fontId="14" fillId="13" borderId="53" xfId="0" applyFont="1" applyFill="1" applyBorder="1" applyAlignment="1">
      <alignment horizontal="left" vertical="center" shrinkToFit="1"/>
    </xf>
    <xf numFmtId="0" fontId="15" fillId="13" borderId="54" xfId="0" applyFont="1" applyFill="1" applyBorder="1" applyAlignment="1">
      <alignment horizontal="left" vertical="center" shrinkToFit="1"/>
    </xf>
    <xf numFmtId="0" fontId="15" fillId="13" borderId="55" xfId="0" applyFont="1" applyFill="1" applyBorder="1" applyAlignment="1">
      <alignment horizontal="left" vertical="center" shrinkToFit="1"/>
    </xf>
    <xf numFmtId="0" fontId="14" fillId="13" borderId="72" xfId="0" applyFont="1" applyFill="1" applyBorder="1" applyAlignment="1">
      <alignment horizontal="left" vertical="center" shrinkToFit="1"/>
    </xf>
    <xf numFmtId="0" fontId="15" fillId="13" borderId="73" xfId="0" applyFont="1" applyFill="1" applyBorder="1" applyAlignment="1">
      <alignment horizontal="left" vertical="center" shrinkToFit="1"/>
    </xf>
    <xf numFmtId="0" fontId="15" fillId="13" borderId="74" xfId="0" applyFont="1" applyFill="1" applyBorder="1" applyAlignment="1">
      <alignment horizontal="left" vertical="center" shrinkToFit="1"/>
    </xf>
  </cellXfs>
  <cellStyles count="2">
    <cellStyle name="Hyperlink" xfId="1" builtinId="8"/>
    <cellStyle name="Normal" xfId="0" builtinId="0"/>
  </cellStyles>
  <dxfs count="34">
    <dxf>
      <font>
        <b/>
        <i val="0"/>
        <condense val="0"/>
        <extend val="0"/>
        <color indexed="10"/>
      </font>
      <fill>
        <patternFill>
          <bgColor indexed="15"/>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2"/>
      </font>
      <fill>
        <patternFill>
          <bgColor indexed="42"/>
        </patternFill>
      </fill>
      <border>
        <left style="thin">
          <color indexed="17"/>
        </left>
        <right style="thin">
          <color indexed="17"/>
        </right>
        <top style="thin">
          <color indexed="17"/>
        </top>
        <bottom style="thin">
          <color indexed="17"/>
        </bottom>
      </border>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14</xdr:row>
      <xdr:rowOff>0</xdr:rowOff>
    </xdr:from>
    <xdr:to>
      <xdr:col>14</xdr:col>
      <xdr:colOff>0</xdr:colOff>
      <xdr:row>15</xdr:row>
      <xdr:rowOff>0</xdr:rowOff>
    </xdr:to>
    <xdr:grpSp>
      <xdr:nvGrpSpPr>
        <xdr:cNvPr id="1699" name="Group 11">
          <a:extLst>
            <a:ext uri="{FF2B5EF4-FFF2-40B4-BE49-F238E27FC236}">
              <a16:creationId xmlns:a16="http://schemas.microsoft.com/office/drawing/2014/main" id="{68813C9A-3F8D-3509-6205-80FDBD07E401}"/>
            </a:ext>
          </a:extLst>
        </xdr:cNvPr>
        <xdr:cNvGrpSpPr>
          <a:grpSpLocks/>
        </xdr:cNvGrpSpPr>
      </xdr:nvGrpSpPr>
      <xdr:grpSpPr bwMode="auto">
        <a:xfrm>
          <a:off x="5057775" y="3400425"/>
          <a:ext cx="2238375" cy="247650"/>
          <a:chOff x="885" y="94"/>
          <a:chExt cx="640" cy="55"/>
        </a:xfrm>
      </xdr:grpSpPr>
      <xdr:sp macro="" textlink="">
        <xdr:nvSpPr>
          <xdr:cNvPr id="1700" name="Freeform 1">
            <a:extLst>
              <a:ext uri="{FF2B5EF4-FFF2-40B4-BE49-F238E27FC236}">
                <a16:creationId xmlns:a16="http://schemas.microsoft.com/office/drawing/2014/main" id="{3E8222F2-98AF-56C3-052B-215CC8116AF6}"/>
              </a:ext>
            </a:extLst>
          </xdr:cNvPr>
          <xdr:cNvSpPr>
            <a:spLocks/>
          </xdr:cNvSpPr>
        </xdr:nvSpPr>
        <xdr:spPr bwMode="auto">
          <a:xfrm>
            <a:off x="88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1" name="Freeform 2">
            <a:extLst>
              <a:ext uri="{FF2B5EF4-FFF2-40B4-BE49-F238E27FC236}">
                <a16:creationId xmlns:a16="http://schemas.microsoft.com/office/drawing/2014/main" id="{1CFE30A9-FBF7-11DE-FABA-589FB88001A9}"/>
              </a:ext>
            </a:extLst>
          </xdr:cNvPr>
          <xdr:cNvSpPr>
            <a:spLocks/>
          </xdr:cNvSpPr>
        </xdr:nvSpPr>
        <xdr:spPr bwMode="auto">
          <a:xfrm>
            <a:off x="94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2" name="Freeform 3">
            <a:extLst>
              <a:ext uri="{FF2B5EF4-FFF2-40B4-BE49-F238E27FC236}">
                <a16:creationId xmlns:a16="http://schemas.microsoft.com/office/drawing/2014/main" id="{5E7F11A4-3F69-A6D6-6FF3-60E5F5E8DCF8}"/>
              </a:ext>
            </a:extLst>
          </xdr:cNvPr>
          <xdr:cNvSpPr>
            <a:spLocks/>
          </xdr:cNvSpPr>
        </xdr:nvSpPr>
        <xdr:spPr bwMode="auto">
          <a:xfrm>
            <a:off x="101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3" name="Freeform 4">
            <a:extLst>
              <a:ext uri="{FF2B5EF4-FFF2-40B4-BE49-F238E27FC236}">
                <a16:creationId xmlns:a16="http://schemas.microsoft.com/office/drawing/2014/main" id="{4A610B1C-27B4-996D-2C8D-4CE9A68B44DC}"/>
              </a:ext>
            </a:extLst>
          </xdr:cNvPr>
          <xdr:cNvSpPr>
            <a:spLocks/>
          </xdr:cNvSpPr>
        </xdr:nvSpPr>
        <xdr:spPr bwMode="auto">
          <a:xfrm>
            <a:off x="107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4" name="Freeform 5">
            <a:extLst>
              <a:ext uri="{FF2B5EF4-FFF2-40B4-BE49-F238E27FC236}">
                <a16:creationId xmlns:a16="http://schemas.microsoft.com/office/drawing/2014/main" id="{5331910C-4F78-B046-207E-AFA9D2B06AF5}"/>
              </a:ext>
            </a:extLst>
          </xdr:cNvPr>
          <xdr:cNvSpPr>
            <a:spLocks/>
          </xdr:cNvSpPr>
        </xdr:nvSpPr>
        <xdr:spPr bwMode="auto">
          <a:xfrm>
            <a:off x="114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5" name="Freeform 6">
            <a:extLst>
              <a:ext uri="{FF2B5EF4-FFF2-40B4-BE49-F238E27FC236}">
                <a16:creationId xmlns:a16="http://schemas.microsoft.com/office/drawing/2014/main" id="{F627D11E-67B1-BA21-AC26-C24DDC7B8635}"/>
              </a:ext>
            </a:extLst>
          </xdr:cNvPr>
          <xdr:cNvSpPr>
            <a:spLocks/>
          </xdr:cNvSpPr>
        </xdr:nvSpPr>
        <xdr:spPr bwMode="auto">
          <a:xfrm>
            <a:off x="120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6" name="Freeform 7">
            <a:extLst>
              <a:ext uri="{FF2B5EF4-FFF2-40B4-BE49-F238E27FC236}">
                <a16:creationId xmlns:a16="http://schemas.microsoft.com/office/drawing/2014/main" id="{B4F61F1F-B1A9-74D8-6B6F-3537FBEB6A28}"/>
              </a:ext>
            </a:extLst>
          </xdr:cNvPr>
          <xdr:cNvSpPr>
            <a:spLocks/>
          </xdr:cNvSpPr>
        </xdr:nvSpPr>
        <xdr:spPr bwMode="auto">
          <a:xfrm>
            <a:off x="126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7" name="Freeform 8">
            <a:extLst>
              <a:ext uri="{FF2B5EF4-FFF2-40B4-BE49-F238E27FC236}">
                <a16:creationId xmlns:a16="http://schemas.microsoft.com/office/drawing/2014/main" id="{B268F694-5D57-38F3-EC69-A76FFEFC8969}"/>
              </a:ext>
            </a:extLst>
          </xdr:cNvPr>
          <xdr:cNvSpPr>
            <a:spLocks/>
          </xdr:cNvSpPr>
        </xdr:nvSpPr>
        <xdr:spPr bwMode="auto">
          <a:xfrm>
            <a:off x="133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8" name="Freeform 9">
            <a:extLst>
              <a:ext uri="{FF2B5EF4-FFF2-40B4-BE49-F238E27FC236}">
                <a16:creationId xmlns:a16="http://schemas.microsoft.com/office/drawing/2014/main" id="{8D3B85DD-C7E6-6F99-C581-23AC6117DA33}"/>
              </a:ext>
            </a:extLst>
          </xdr:cNvPr>
          <xdr:cNvSpPr>
            <a:spLocks/>
          </xdr:cNvSpPr>
        </xdr:nvSpPr>
        <xdr:spPr bwMode="auto">
          <a:xfrm>
            <a:off x="139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9" name="Freeform 10">
            <a:extLst>
              <a:ext uri="{FF2B5EF4-FFF2-40B4-BE49-F238E27FC236}">
                <a16:creationId xmlns:a16="http://schemas.microsoft.com/office/drawing/2014/main" id="{3E4AE924-6157-93AD-609C-E72FE77741C8}"/>
              </a:ext>
            </a:extLst>
          </xdr:cNvPr>
          <xdr:cNvSpPr>
            <a:spLocks/>
          </xdr:cNvSpPr>
        </xdr:nvSpPr>
        <xdr:spPr bwMode="auto">
          <a:xfrm>
            <a:off x="146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ina.hr/Default.aspx?sec=915" TargetMode="External"/><Relationship Id="rId1" Type="http://schemas.openxmlformats.org/officeDocument/2006/relationships/hyperlink" Target="http://www.fina.hr/Default.aspx?sec=915"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AE446"/>
  <sheetViews>
    <sheetView showGridLines="0" showRowColHeaders="0" workbookViewId="0"/>
  </sheetViews>
  <sheetFormatPr defaultRowHeight="12.75" x14ac:dyDescent="0.2"/>
  <cols>
    <col min="1" max="1" width="20.7109375" style="4" customWidth="1"/>
    <col min="2" max="2" width="20.7109375" style="25" customWidth="1"/>
    <col min="3" max="7" width="9.140625" style="4"/>
    <col min="8" max="8" width="9.140625" style="26"/>
    <col min="9" max="9" width="9.140625" style="4"/>
    <col min="10" max="25" width="9.140625" style="27"/>
    <col min="26" max="16384" width="9.140625" style="4"/>
  </cols>
  <sheetData>
    <row r="1" spans="1:31" x14ac:dyDescent="0.2">
      <c r="A1" s="44" t="s">
        <v>2743</v>
      </c>
      <c r="B1" s="45" t="s">
        <v>2744</v>
      </c>
      <c r="C1" s="44"/>
      <c r="D1" s="44" t="s">
        <v>2221</v>
      </c>
      <c r="E1" s="44" t="s">
        <v>2222</v>
      </c>
      <c r="F1" s="44" t="s">
        <v>956</v>
      </c>
      <c r="G1" s="44" t="s">
        <v>2223</v>
      </c>
      <c r="H1" s="46" t="s">
        <v>1548</v>
      </c>
      <c r="I1" s="44" t="s">
        <v>558</v>
      </c>
      <c r="J1" s="47" t="s">
        <v>1549</v>
      </c>
      <c r="K1" s="47" t="s">
        <v>1550</v>
      </c>
      <c r="L1" s="47" t="s">
        <v>1551</v>
      </c>
      <c r="M1" s="47" t="s">
        <v>1552</v>
      </c>
      <c r="N1" s="47" t="s">
        <v>1553</v>
      </c>
      <c r="O1" s="47" t="s">
        <v>1554</v>
      </c>
      <c r="P1" s="47" t="s">
        <v>1555</v>
      </c>
      <c r="Q1" s="47" t="s">
        <v>1556</v>
      </c>
      <c r="R1" s="47" t="s">
        <v>1557</v>
      </c>
      <c r="S1" s="47" t="s">
        <v>1558</v>
      </c>
      <c r="T1" s="47" t="s">
        <v>1559</v>
      </c>
      <c r="U1" s="47" t="s">
        <v>1295</v>
      </c>
      <c r="V1" s="47" t="s">
        <v>1296</v>
      </c>
      <c r="W1" s="47" t="s">
        <v>1297</v>
      </c>
      <c r="X1" s="47" t="s">
        <v>1298</v>
      </c>
      <c r="Y1" s="47" t="s">
        <v>509</v>
      </c>
      <c r="Z1" s="47" t="s">
        <v>1244</v>
      </c>
      <c r="AA1" s="47" t="s">
        <v>1245</v>
      </c>
      <c r="AB1" s="47" t="s">
        <v>1246</v>
      </c>
      <c r="AC1" s="47" t="s">
        <v>1247</v>
      </c>
      <c r="AD1" s="47" t="s">
        <v>1248</v>
      </c>
      <c r="AE1" s="47" t="s">
        <v>1249</v>
      </c>
    </row>
    <row r="2" spans="1:31" x14ac:dyDescent="0.2">
      <c r="A2" s="4" t="s">
        <v>549</v>
      </c>
      <c r="B2" s="25">
        <f>RefStr!F12</f>
        <v>2021</v>
      </c>
      <c r="D2" s="4" t="s">
        <v>554</v>
      </c>
      <c r="E2" s="4">
        <v>1</v>
      </c>
      <c r="F2" s="4">
        <f>Bilanca!G9</f>
        <v>1</v>
      </c>
      <c r="G2" s="4" t="str">
        <f>IF(Bilanca!H9=0,"",Bilanca!H9)</f>
        <v/>
      </c>
      <c r="H2" s="26">
        <f>J2/100*F2+2*K2/100*F2</f>
        <v>0</v>
      </c>
      <c r="I2" s="27">
        <f>ABS(ROUND(J2,0)-J2)+ABS(ROUND(K2,0)-K2)</f>
        <v>0</v>
      </c>
      <c r="J2" s="27">
        <f>Bilanca!I9</f>
        <v>0</v>
      </c>
      <c r="K2" s="27">
        <f>Bilanca!J9</f>
        <v>0</v>
      </c>
    </row>
    <row r="3" spans="1:31" x14ac:dyDescent="0.2">
      <c r="A3" s="4" t="s">
        <v>2695</v>
      </c>
      <c r="B3" s="25" t="s">
        <v>2696</v>
      </c>
      <c r="D3" s="4" t="s">
        <v>554</v>
      </c>
      <c r="E3" s="4">
        <v>1</v>
      </c>
      <c r="F3" s="4">
        <f>Bilanca!G10</f>
        <v>2</v>
      </c>
      <c r="G3" s="4" t="str">
        <f>IF(Bilanca!H10=0,"",Bilanca!H10)</f>
        <v/>
      </c>
      <c r="H3" s="26">
        <f>J3/100*F3+2*K3/100*F3</f>
        <v>43741.520000000004</v>
      </c>
      <c r="I3" s="27">
        <f>ABS(ROUND(J3,0)-J3)+ABS(ROUND(K3,0)-K3)</f>
        <v>0</v>
      </c>
      <c r="J3" s="27">
        <f>Bilanca!I10</f>
        <v>678242</v>
      </c>
      <c r="K3" s="27">
        <f>Bilanca!J10</f>
        <v>754417</v>
      </c>
    </row>
    <row r="4" spans="1:31" x14ac:dyDescent="0.2">
      <c r="A4" s="4" t="s">
        <v>2697</v>
      </c>
      <c r="B4" s="25" t="s">
        <v>364</v>
      </c>
      <c r="D4" s="4" t="s">
        <v>554</v>
      </c>
      <c r="E4" s="4">
        <v>1</v>
      </c>
      <c r="F4" s="4">
        <f>Bilanca!G11</f>
        <v>3</v>
      </c>
      <c r="G4" s="4" t="str">
        <f>IF(Bilanca!H11=0,"",Bilanca!H11)</f>
        <v/>
      </c>
      <c r="H4" s="26">
        <f>J4/100*F4+2*K4/100*F4</f>
        <v>28785.39</v>
      </c>
      <c r="I4" s="27">
        <f>ABS(ROUND(J4,0)-J4)+ABS(ROUND(K4,0)-K4)</f>
        <v>0</v>
      </c>
      <c r="J4" s="27">
        <f>Bilanca!I11</f>
        <v>339333</v>
      </c>
      <c r="K4" s="27">
        <f>Bilanca!J11</f>
        <v>310090</v>
      </c>
    </row>
    <row r="5" spans="1:31" x14ac:dyDescent="0.2">
      <c r="A5" s="4" t="s">
        <v>2742</v>
      </c>
      <c r="B5" s="25">
        <f>IF(ISNUMBER(RefStr!C17), RefStr!C17,0)</f>
        <v>10</v>
      </c>
      <c r="D5" s="4" t="s">
        <v>554</v>
      </c>
      <c r="E5" s="4">
        <v>1</v>
      </c>
      <c r="F5" s="4">
        <f>Bilanca!G12</f>
        <v>4</v>
      </c>
      <c r="G5" s="4" t="str">
        <f>IF(Bilanca!H12=0,"",Bilanca!H12)</f>
        <v/>
      </c>
      <c r="H5" s="26">
        <f>J5/100*F5+2*K5/100*F5</f>
        <v>0</v>
      </c>
      <c r="I5" s="27">
        <f>ABS(ROUND(J5,0)-J5)+ABS(ROUND(K5,0)-K5)</f>
        <v>0</v>
      </c>
      <c r="J5" s="27">
        <f>Bilanca!I12</f>
        <v>0</v>
      </c>
      <c r="K5" s="27">
        <f>Bilanca!J12</f>
        <v>0</v>
      </c>
    </row>
    <row r="6" spans="1:31" x14ac:dyDescent="0.2">
      <c r="A6" s="4" t="s">
        <v>1560</v>
      </c>
      <c r="B6" s="25" t="str">
        <f>RefStr!H27</f>
        <v>04314247</v>
      </c>
      <c r="D6" s="4" t="s">
        <v>554</v>
      </c>
      <c r="E6" s="4">
        <v>1</v>
      </c>
      <c r="F6" s="4">
        <f>Bilanca!G13</f>
        <v>5</v>
      </c>
      <c r="G6" s="4" t="str">
        <f>IF(Bilanca!H13=0,"",Bilanca!H13)</f>
        <v/>
      </c>
      <c r="H6" s="26">
        <f t="shared" ref="H6:H45" si="0">J6/100*F6+2*K6/100*F6</f>
        <v>20793.25</v>
      </c>
      <c r="I6" s="27">
        <f t="shared" ref="I6:I45" si="1">ABS(ROUND(J6,0)-J6)+ABS(ROUND(K6,0)-K6)</f>
        <v>0</v>
      </c>
      <c r="J6" s="27">
        <f>Bilanca!I13</f>
        <v>158117</v>
      </c>
      <c r="K6" s="27">
        <f>Bilanca!J13</f>
        <v>128874</v>
      </c>
    </row>
    <row r="7" spans="1:31" x14ac:dyDescent="0.2">
      <c r="A7" s="4" t="s">
        <v>1561</v>
      </c>
      <c r="B7" s="25" t="str">
        <f>RefStr!M27</f>
        <v>040338231</v>
      </c>
      <c r="D7" s="4" t="s">
        <v>554</v>
      </c>
      <c r="E7" s="4">
        <v>1</v>
      </c>
      <c r="F7" s="4">
        <f>Bilanca!G14</f>
        <v>6</v>
      </c>
      <c r="G7" s="4" t="str">
        <f>IF(Bilanca!H14=0,"",Bilanca!H14)</f>
        <v/>
      </c>
      <c r="H7" s="26">
        <f t="shared" si="0"/>
        <v>0</v>
      </c>
      <c r="I7" s="27">
        <f t="shared" si="1"/>
        <v>0</v>
      </c>
      <c r="J7" s="27">
        <f>Bilanca!I14</f>
        <v>0</v>
      </c>
      <c r="K7" s="27">
        <f>Bilanca!J14</f>
        <v>0</v>
      </c>
    </row>
    <row r="8" spans="1:31" x14ac:dyDescent="0.2">
      <c r="A8" s="4" t="s">
        <v>1316</v>
      </c>
      <c r="B8" s="25" t="str">
        <f>RefStr!C27</f>
        <v>50327992893</v>
      </c>
      <c r="D8" s="4" t="s">
        <v>554</v>
      </c>
      <c r="E8" s="4">
        <v>1</v>
      </c>
      <c r="F8" s="4">
        <f>Bilanca!G15</f>
        <v>7</v>
      </c>
      <c r="G8" s="4" t="str">
        <f>IF(Bilanca!H15=0,"",Bilanca!H15)</f>
        <v/>
      </c>
      <c r="H8" s="26">
        <f t="shared" si="0"/>
        <v>0</v>
      </c>
      <c r="I8" s="27">
        <f t="shared" si="1"/>
        <v>0</v>
      </c>
      <c r="J8" s="27">
        <f>Bilanca!I15</f>
        <v>0</v>
      </c>
      <c r="K8" s="27">
        <f>Bilanca!J15</f>
        <v>0</v>
      </c>
    </row>
    <row r="9" spans="1:31" x14ac:dyDescent="0.2">
      <c r="A9" s="4" t="s">
        <v>1562</v>
      </c>
      <c r="B9" s="25" t="str">
        <f>TRIM(RefStr!C29)</f>
        <v>POSLOVNI SUSTAVI d.o.o. RIJEKA</v>
      </c>
      <c r="D9" s="4" t="s">
        <v>554</v>
      </c>
      <c r="E9" s="4">
        <v>1</v>
      </c>
      <c r="F9" s="4">
        <f>Bilanca!G16</f>
        <v>8</v>
      </c>
      <c r="G9" s="4" t="str">
        <f>IF(Bilanca!H16=0,"",Bilanca!H16)</f>
        <v/>
      </c>
      <c r="H9" s="26">
        <f t="shared" si="0"/>
        <v>43491.840000000004</v>
      </c>
      <c r="I9" s="27">
        <f t="shared" si="1"/>
        <v>0</v>
      </c>
      <c r="J9" s="27">
        <f>Bilanca!I16</f>
        <v>181216</v>
      </c>
      <c r="K9" s="27">
        <f>Bilanca!J16</f>
        <v>181216</v>
      </c>
    </row>
    <row r="10" spans="1:31" x14ac:dyDescent="0.2">
      <c r="A10" s="4" t="s">
        <v>2736</v>
      </c>
      <c r="B10" s="25" t="str">
        <f>TEXT(RefStr!C31, "00000")</f>
        <v>51000</v>
      </c>
      <c r="D10" s="4" t="s">
        <v>554</v>
      </c>
      <c r="E10" s="4">
        <v>1</v>
      </c>
      <c r="F10" s="4">
        <f>Bilanca!G17</f>
        <v>9</v>
      </c>
      <c r="G10" s="4" t="str">
        <f>IF(Bilanca!H17=0,"",Bilanca!H17)</f>
        <v/>
      </c>
      <c r="H10" s="26">
        <f t="shared" si="0"/>
        <v>0</v>
      </c>
      <c r="I10" s="27">
        <f t="shared" si="1"/>
        <v>0</v>
      </c>
      <c r="J10" s="27">
        <f>Bilanca!I17</f>
        <v>0</v>
      </c>
      <c r="K10" s="27">
        <f>Bilanca!J17</f>
        <v>0</v>
      </c>
    </row>
    <row r="11" spans="1:31" x14ac:dyDescent="0.2">
      <c r="A11" s="4" t="s">
        <v>2737</v>
      </c>
      <c r="B11" s="25" t="str">
        <f>TRIM(RefStr!F31)</f>
        <v>RIJEKA</v>
      </c>
      <c r="D11" s="4" t="s">
        <v>554</v>
      </c>
      <c r="E11" s="4">
        <v>1</v>
      </c>
      <c r="F11" s="4">
        <f>Bilanca!G18</f>
        <v>10</v>
      </c>
      <c r="G11" s="4" t="str">
        <f>IF(Bilanca!H18=0,"",Bilanca!H18)</f>
        <v/>
      </c>
      <c r="H11" s="26">
        <f t="shared" si="0"/>
        <v>99085.7</v>
      </c>
      <c r="I11" s="27">
        <f t="shared" si="1"/>
        <v>0</v>
      </c>
      <c r="J11" s="27">
        <f>Bilanca!I18</f>
        <v>255403</v>
      </c>
      <c r="K11" s="27">
        <f>Bilanca!J18</f>
        <v>367727</v>
      </c>
    </row>
    <row r="12" spans="1:31" x14ac:dyDescent="0.2">
      <c r="A12" s="4" t="s">
        <v>2738</v>
      </c>
      <c r="B12" s="25" t="str">
        <f>TRIM(RefStr!C33)</f>
        <v>Školjić 15</v>
      </c>
      <c r="D12" s="4" t="s">
        <v>554</v>
      </c>
      <c r="E12" s="4">
        <v>1</v>
      </c>
      <c r="F12" s="4">
        <f>Bilanca!G19</f>
        <v>11</v>
      </c>
      <c r="G12" s="4" t="str">
        <f>IF(Bilanca!H19=0,"",Bilanca!H19)</f>
        <v/>
      </c>
      <c r="H12" s="26">
        <f t="shared" si="0"/>
        <v>0</v>
      </c>
      <c r="I12" s="27">
        <f t="shared" si="1"/>
        <v>0</v>
      </c>
      <c r="J12" s="27">
        <f>Bilanca!I19</f>
        <v>0</v>
      </c>
      <c r="K12" s="27">
        <f>Bilanca!J19</f>
        <v>0</v>
      </c>
    </row>
    <row r="13" spans="1:31" x14ac:dyDescent="0.2">
      <c r="A13" s="4" t="s">
        <v>2884</v>
      </c>
      <c r="B13" s="25" t="str">
        <f>TRIM(RefStr!C35)</f>
        <v>uprava@poslovni-sustavi.hr</v>
      </c>
      <c r="D13" s="4" t="s">
        <v>554</v>
      </c>
      <c r="E13" s="4">
        <v>1</v>
      </c>
      <c r="F13" s="4">
        <f>Bilanca!G20</f>
        <v>12</v>
      </c>
      <c r="G13" s="4" t="str">
        <f>IF(Bilanca!H20=0,"",Bilanca!H20)</f>
        <v/>
      </c>
      <c r="H13" s="26">
        <f t="shared" si="0"/>
        <v>0</v>
      </c>
      <c r="I13" s="27">
        <f t="shared" si="1"/>
        <v>0</v>
      </c>
      <c r="J13" s="27">
        <f>Bilanca!I20</f>
        <v>0</v>
      </c>
      <c r="K13" s="27">
        <f>Bilanca!J20</f>
        <v>0</v>
      </c>
    </row>
    <row r="14" spans="1:31" x14ac:dyDescent="0.2">
      <c r="A14" s="4" t="s">
        <v>2885</v>
      </c>
      <c r="B14" s="25" t="str">
        <f>TRIM(RefStr!C37)</f>
        <v>www.poslovni-sustavi.hr</v>
      </c>
      <c r="D14" s="4" t="s">
        <v>554</v>
      </c>
      <c r="E14" s="4">
        <v>1</v>
      </c>
      <c r="F14" s="4">
        <f>Bilanca!G21</f>
        <v>13</v>
      </c>
      <c r="G14" s="4" t="str">
        <f>IF(Bilanca!H21=0,"",Bilanca!H21)</f>
        <v/>
      </c>
      <c r="H14" s="26">
        <f t="shared" si="0"/>
        <v>113798.88</v>
      </c>
      <c r="I14" s="27">
        <f t="shared" si="1"/>
        <v>0</v>
      </c>
      <c r="J14" s="27">
        <f>Bilanca!I21</f>
        <v>182636</v>
      </c>
      <c r="K14" s="27">
        <f>Bilanca!J21</f>
        <v>346370</v>
      </c>
    </row>
    <row r="15" spans="1:31" x14ac:dyDescent="0.2">
      <c r="A15" s="4" t="s">
        <v>2741</v>
      </c>
      <c r="B15" s="25" t="str">
        <f>TEXT(RefStr!J39,"00")</f>
        <v>08</v>
      </c>
      <c r="D15" s="4" t="s">
        <v>554</v>
      </c>
      <c r="E15" s="4">
        <v>1</v>
      </c>
      <c r="F15" s="4">
        <f>Bilanca!G22</f>
        <v>14</v>
      </c>
      <c r="G15" s="4" t="str">
        <f>IF(Bilanca!H22=0,"",Bilanca!H22)</f>
        <v/>
      </c>
      <c r="H15" s="26">
        <f t="shared" si="0"/>
        <v>16167.34</v>
      </c>
      <c r="I15" s="27">
        <f t="shared" si="1"/>
        <v>0</v>
      </c>
      <c r="J15" s="27">
        <f>Bilanca!I22</f>
        <v>72767</v>
      </c>
      <c r="K15" s="27">
        <f>Bilanca!J22</f>
        <v>21357</v>
      </c>
    </row>
    <row r="16" spans="1:31" x14ac:dyDescent="0.2">
      <c r="A16" s="4" t="s">
        <v>2740</v>
      </c>
      <c r="B16" s="25" t="str">
        <f>TEXT(RefStr!C39, "000")</f>
        <v>373</v>
      </c>
      <c r="D16" s="4" t="s">
        <v>554</v>
      </c>
      <c r="E16" s="4">
        <v>1</v>
      </c>
      <c r="F16" s="4">
        <f>Bilanca!G23</f>
        <v>15</v>
      </c>
      <c r="G16" s="4" t="str">
        <f>IF(Bilanca!H23=0,"",Bilanca!H23)</f>
        <v/>
      </c>
      <c r="H16" s="26">
        <f t="shared" si="0"/>
        <v>0</v>
      </c>
      <c r="I16" s="27">
        <f t="shared" si="1"/>
        <v>0</v>
      </c>
      <c r="J16" s="27">
        <f>Bilanca!I23</f>
        <v>0</v>
      </c>
      <c r="K16" s="27">
        <f>Bilanca!J23</f>
        <v>0</v>
      </c>
    </row>
    <row r="17" spans="1:11" x14ac:dyDescent="0.2">
      <c r="A17" s="4" t="s">
        <v>2739</v>
      </c>
      <c r="B17" s="25" t="str">
        <f>RefStr!C42</f>
        <v>6920</v>
      </c>
      <c r="D17" s="4" t="s">
        <v>554</v>
      </c>
      <c r="E17" s="4">
        <v>1</v>
      </c>
      <c r="F17" s="4">
        <f>Bilanca!G24</f>
        <v>16</v>
      </c>
      <c r="G17" s="4" t="str">
        <f>IF(Bilanca!H24=0,"",Bilanca!H24)</f>
        <v/>
      </c>
      <c r="H17" s="26">
        <f t="shared" si="0"/>
        <v>0</v>
      </c>
      <c r="I17" s="27">
        <f t="shared" si="1"/>
        <v>0</v>
      </c>
      <c r="J17" s="27">
        <f>Bilanca!I24</f>
        <v>0</v>
      </c>
      <c r="K17" s="27">
        <f>Bilanca!J24</f>
        <v>0</v>
      </c>
    </row>
    <row r="18" spans="1:11" x14ac:dyDescent="0.2">
      <c r="A18" s="4" t="s">
        <v>2886</v>
      </c>
      <c r="B18" s="25" t="str">
        <f>IF(RefStr!C21&lt;&gt;"",RefStr!C21,"")</f>
        <v>NE</v>
      </c>
      <c r="D18" s="4" t="s">
        <v>554</v>
      </c>
      <c r="E18" s="4">
        <v>1</v>
      </c>
      <c r="F18" s="4">
        <f>Bilanca!G25</f>
        <v>17</v>
      </c>
      <c r="G18" s="4" t="str">
        <f>IF(Bilanca!H25=0,"",Bilanca!H25)</f>
        <v/>
      </c>
      <c r="H18" s="26">
        <f t="shared" si="0"/>
        <v>0</v>
      </c>
      <c r="I18" s="27">
        <f t="shared" si="1"/>
        <v>0</v>
      </c>
      <c r="J18" s="27">
        <f>Bilanca!I25</f>
        <v>0</v>
      </c>
      <c r="K18" s="27">
        <f>Bilanca!J25</f>
        <v>0</v>
      </c>
    </row>
    <row r="19" spans="1:11" x14ac:dyDescent="0.2">
      <c r="A19" s="4" t="s">
        <v>2887</v>
      </c>
      <c r="B19" s="25" t="str">
        <f>IF(RefStr!I21&lt;&gt;"",RefStr!I21,"")</f>
        <v>NE</v>
      </c>
      <c r="D19" s="4" t="s">
        <v>554</v>
      </c>
      <c r="E19" s="4">
        <v>1</v>
      </c>
      <c r="F19" s="4">
        <f>Bilanca!G26</f>
        <v>18</v>
      </c>
      <c r="G19" s="4" t="str">
        <f>IF(Bilanca!H26=0,"",Bilanca!H26)</f>
        <v/>
      </c>
      <c r="H19" s="26">
        <f t="shared" si="0"/>
        <v>0</v>
      </c>
      <c r="I19" s="27">
        <f t="shared" si="1"/>
        <v>0</v>
      </c>
      <c r="J19" s="27">
        <f>Bilanca!I26</f>
        <v>0</v>
      </c>
      <c r="K19" s="27">
        <f>Bilanca!J26</f>
        <v>0</v>
      </c>
    </row>
    <row r="20" spans="1:11" x14ac:dyDescent="0.2">
      <c r="A20" s="4" t="s">
        <v>2888</v>
      </c>
      <c r="B20" s="25">
        <f>RefStr!C19</f>
        <v>2</v>
      </c>
      <c r="D20" s="4" t="s">
        <v>554</v>
      </c>
      <c r="E20" s="4">
        <v>1</v>
      </c>
      <c r="F20" s="4">
        <f>Bilanca!G27</f>
        <v>19</v>
      </c>
      <c r="G20" s="4" t="str">
        <f>IF(Bilanca!H27=0,"",Bilanca!H27)</f>
        <v/>
      </c>
      <c r="H20" s="26">
        <f t="shared" si="0"/>
        <v>0</v>
      </c>
      <c r="I20" s="27">
        <f t="shared" si="1"/>
        <v>0</v>
      </c>
      <c r="J20" s="27">
        <f>Bilanca!I27</f>
        <v>0</v>
      </c>
      <c r="K20" s="27">
        <f>Bilanca!J27</f>
        <v>0</v>
      </c>
    </row>
    <row r="21" spans="1:11" x14ac:dyDescent="0.2">
      <c r="A21" s="4" t="s">
        <v>2889</v>
      </c>
      <c r="B21" s="25">
        <f>IF(RefStr!C50&gt;0,IF(RefStr!C50=1,4,RefStr!C50-1),RefStr!C50)</f>
        <v>1</v>
      </c>
      <c r="D21" s="4" t="s">
        <v>554</v>
      </c>
      <c r="E21" s="4">
        <v>1</v>
      </c>
      <c r="F21" s="4">
        <f>Bilanca!G28</f>
        <v>20</v>
      </c>
      <c r="G21" s="4" t="str">
        <f>IF(Bilanca!H28=0,"",Bilanca!H28)</f>
        <v/>
      </c>
      <c r="H21" s="26">
        <f t="shared" si="0"/>
        <v>0</v>
      </c>
      <c r="I21" s="27">
        <f t="shared" si="1"/>
        <v>0</v>
      </c>
      <c r="J21" s="27">
        <f>Bilanca!I28</f>
        <v>0</v>
      </c>
      <c r="K21" s="27">
        <f>Bilanca!J28</f>
        <v>0</v>
      </c>
    </row>
    <row r="22" spans="1:11" x14ac:dyDescent="0.2">
      <c r="A22" s="4" t="s">
        <v>2890</v>
      </c>
      <c r="B22" s="25">
        <f>RefStr!C52</f>
        <v>11</v>
      </c>
      <c r="D22" s="4" t="s">
        <v>554</v>
      </c>
      <c r="E22" s="4">
        <v>1</v>
      </c>
      <c r="F22" s="4">
        <f>Bilanca!G29</f>
        <v>21</v>
      </c>
      <c r="G22" s="4" t="str">
        <f>IF(Bilanca!H29=0,"",Bilanca!H29)</f>
        <v/>
      </c>
      <c r="H22" s="26">
        <f t="shared" si="0"/>
        <v>0</v>
      </c>
      <c r="I22" s="27">
        <f t="shared" si="1"/>
        <v>0</v>
      </c>
      <c r="J22" s="27">
        <f>Bilanca!I29</f>
        <v>0</v>
      </c>
      <c r="K22" s="27">
        <f>Bilanca!J29</f>
        <v>0</v>
      </c>
    </row>
    <row r="23" spans="1:11" x14ac:dyDescent="0.2">
      <c r="A23" s="4" t="s">
        <v>2891</v>
      </c>
      <c r="B23" s="25">
        <f>RefStr!C54</f>
        <v>100</v>
      </c>
      <c r="D23" s="4" t="s">
        <v>554</v>
      </c>
      <c r="E23" s="4">
        <v>1</v>
      </c>
      <c r="F23" s="4">
        <f>Bilanca!G30</f>
        <v>22</v>
      </c>
      <c r="G23" s="4" t="str">
        <f>IF(Bilanca!H30=0,"",Bilanca!H30)</f>
        <v/>
      </c>
      <c r="H23" s="26">
        <f t="shared" si="0"/>
        <v>0</v>
      </c>
      <c r="I23" s="27">
        <f t="shared" si="1"/>
        <v>0</v>
      </c>
      <c r="J23" s="27">
        <f>Bilanca!I30</f>
        <v>0</v>
      </c>
      <c r="K23" s="27">
        <f>Bilanca!J30</f>
        <v>0</v>
      </c>
    </row>
    <row r="24" spans="1:11" x14ac:dyDescent="0.2">
      <c r="A24" s="4" t="s">
        <v>2892</v>
      </c>
      <c r="B24" s="25">
        <f>RefStr!F54</f>
        <v>0</v>
      </c>
      <c r="D24" s="4" t="s">
        <v>554</v>
      </c>
      <c r="E24" s="4">
        <v>1</v>
      </c>
      <c r="F24" s="4">
        <f>Bilanca!G31</f>
        <v>23</v>
      </c>
      <c r="G24" s="4" t="str">
        <f>IF(Bilanca!H31=0,"",Bilanca!H31)</f>
        <v/>
      </c>
      <c r="H24" s="26">
        <f t="shared" si="0"/>
        <v>0</v>
      </c>
      <c r="I24" s="27">
        <f t="shared" si="1"/>
        <v>0</v>
      </c>
      <c r="J24" s="27">
        <f>Bilanca!I31</f>
        <v>0</v>
      </c>
      <c r="K24" s="27">
        <f>Bilanca!J31</f>
        <v>0</v>
      </c>
    </row>
    <row r="25" spans="1:11" x14ac:dyDescent="0.2">
      <c r="A25" s="4" t="s">
        <v>2893</v>
      </c>
      <c r="B25" s="25">
        <f>RefStr!C56</f>
        <v>97</v>
      </c>
      <c r="D25" s="4" t="s">
        <v>554</v>
      </c>
      <c r="E25" s="4">
        <v>1</v>
      </c>
      <c r="F25" s="4">
        <f>Bilanca!G32</f>
        <v>24</v>
      </c>
      <c r="G25" s="4" t="str">
        <f>IF(Bilanca!H32=0,"",Bilanca!H32)</f>
        <v/>
      </c>
      <c r="H25" s="26">
        <f t="shared" si="0"/>
        <v>0</v>
      </c>
      <c r="I25" s="27">
        <f t="shared" si="1"/>
        <v>0</v>
      </c>
      <c r="J25" s="27">
        <f>Bilanca!I32</f>
        <v>0</v>
      </c>
      <c r="K25" s="27">
        <f>Bilanca!J32</f>
        <v>0</v>
      </c>
    </row>
    <row r="26" spans="1:11" x14ac:dyDescent="0.2">
      <c r="A26" s="4" t="s">
        <v>2894</v>
      </c>
      <c r="B26" s="25">
        <f>RefStr!F56</f>
        <v>81</v>
      </c>
      <c r="D26" s="4" t="s">
        <v>554</v>
      </c>
      <c r="E26" s="4">
        <v>1</v>
      </c>
      <c r="F26" s="4">
        <f>Bilanca!G33</f>
        <v>25</v>
      </c>
      <c r="G26" s="4" t="str">
        <f>IF(Bilanca!H33=0,"",Bilanca!H33)</f>
        <v/>
      </c>
      <c r="H26" s="26">
        <f t="shared" si="0"/>
        <v>0</v>
      </c>
      <c r="I26" s="27">
        <f t="shared" si="1"/>
        <v>0</v>
      </c>
      <c r="J26" s="27">
        <f>Bilanca!I33</f>
        <v>0</v>
      </c>
      <c r="K26" s="27">
        <f>Bilanca!J33</f>
        <v>0</v>
      </c>
    </row>
    <row r="27" spans="1:11" x14ac:dyDescent="0.2">
      <c r="A27" s="4" t="s">
        <v>2895</v>
      </c>
      <c r="B27" s="25">
        <f>RefStr!C58</f>
        <v>94</v>
      </c>
      <c r="D27" s="4" t="s">
        <v>554</v>
      </c>
      <c r="E27" s="4">
        <v>1</v>
      </c>
      <c r="F27" s="4">
        <f>Bilanca!G34</f>
        <v>26</v>
      </c>
      <c r="G27" s="4" t="str">
        <f>IF(Bilanca!H34=0,"",Bilanca!H34)</f>
        <v/>
      </c>
      <c r="H27" s="26">
        <f t="shared" si="0"/>
        <v>0</v>
      </c>
      <c r="I27" s="27">
        <f t="shared" si="1"/>
        <v>0</v>
      </c>
      <c r="J27" s="27">
        <f>Bilanca!I34</f>
        <v>0</v>
      </c>
      <c r="K27" s="27">
        <f>Bilanca!J34</f>
        <v>0</v>
      </c>
    </row>
    <row r="28" spans="1:11" x14ac:dyDescent="0.2">
      <c r="A28" s="4" t="s">
        <v>2896</v>
      </c>
      <c r="B28" s="25">
        <f>RefStr!F58</f>
        <v>74</v>
      </c>
      <c r="D28" s="4" t="s">
        <v>554</v>
      </c>
      <c r="E28" s="4">
        <v>1</v>
      </c>
      <c r="F28" s="4">
        <f>Bilanca!G35</f>
        <v>27</v>
      </c>
      <c r="G28" s="4" t="str">
        <f>IF(Bilanca!H35=0,"",Bilanca!H35)</f>
        <v/>
      </c>
      <c r="H28" s="26">
        <f t="shared" si="0"/>
        <v>0</v>
      </c>
      <c r="I28" s="27">
        <f t="shared" si="1"/>
        <v>0</v>
      </c>
      <c r="J28" s="27">
        <f>Bilanca!I35</f>
        <v>0</v>
      </c>
      <c r="K28" s="27">
        <f>Bilanca!J35</f>
        <v>0</v>
      </c>
    </row>
    <row r="29" spans="1:11" x14ac:dyDescent="0.2">
      <c r="A29" s="4" t="s">
        <v>2897</v>
      </c>
      <c r="B29" s="25">
        <f>RefStr!C60</f>
        <v>12</v>
      </c>
      <c r="D29" s="4" t="s">
        <v>554</v>
      </c>
      <c r="E29" s="4">
        <v>1</v>
      </c>
      <c r="F29" s="4">
        <f>Bilanca!G36</f>
        <v>28</v>
      </c>
      <c r="G29" s="4" t="str">
        <f>IF(Bilanca!H36=0,"",Bilanca!H36)</f>
        <v/>
      </c>
      <c r="H29" s="26">
        <f t="shared" si="0"/>
        <v>0</v>
      </c>
      <c r="I29" s="27">
        <f t="shared" si="1"/>
        <v>0</v>
      </c>
      <c r="J29" s="27">
        <f>Bilanca!I36</f>
        <v>0</v>
      </c>
      <c r="K29" s="27">
        <f>Bilanca!J36</f>
        <v>0</v>
      </c>
    </row>
    <row r="30" spans="1:11" x14ac:dyDescent="0.2">
      <c r="A30" s="4" t="s">
        <v>2898</v>
      </c>
      <c r="B30" s="25">
        <f>RefStr!F60</f>
        <v>12</v>
      </c>
      <c r="D30" s="4" t="s">
        <v>554</v>
      </c>
      <c r="E30" s="4">
        <v>1</v>
      </c>
      <c r="F30" s="4">
        <f>Bilanca!G37</f>
        <v>29</v>
      </c>
      <c r="G30" s="4" t="str">
        <f>IF(Bilanca!H37=0,"",Bilanca!H37)</f>
        <v/>
      </c>
      <c r="H30" s="26">
        <f t="shared" si="0"/>
        <v>0</v>
      </c>
      <c r="I30" s="27">
        <f t="shared" si="1"/>
        <v>0</v>
      </c>
      <c r="J30" s="27">
        <f>Bilanca!I37</f>
        <v>0</v>
      </c>
      <c r="K30" s="27">
        <f>Bilanca!J37</f>
        <v>0</v>
      </c>
    </row>
    <row r="31" spans="1:11" x14ac:dyDescent="0.2">
      <c r="A31" s="4" t="s">
        <v>2899</v>
      </c>
      <c r="B31" s="25" t="s">
        <v>883</v>
      </c>
      <c r="D31" s="4" t="s">
        <v>554</v>
      </c>
      <c r="E31" s="4">
        <v>1</v>
      </c>
      <c r="F31" s="4">
        <f>Bilanca!G38</f>
        <v>30</v>
      </c>
      <c r="G31" s="4" t="str">
        <f>IF(Bilanca!H38=0,"",Bilanca!H38)</f>
        <v/>
      </c>
      <c r="H31" s="26">
        <f t="shared" si="0"/>
        <v>0</v>
      </c>
      <c r="I31" s="27">
        <f t="shared" si="1"/>
        <v>0</v>
      </c>
      <c r="J31" s="27">
        <f>Bilanca!I38</f>
        <v>0</v>
      </c>
      <c r="K31" s="27">
        <f>Bilanca!J38</f>
        <v>0</v>
      </c>
    </row>
    <row r="32" spans="1:11" x14ac:dyDescent="0.2">
      <c r="A32" s="4" t="s">
        <v>2900</v>
      </c>
      <c r="B32" s="25" t="s">
        <v>883</v>
      </c>
      <c r="D32" s="4" t="s">
        <v>554</v>
      </c>
      <c r="E32" s="4">
        <v>1</v>
      </c>
      <c r="F32" s="4">
        <f>Bilanca!G39</f>
        <v>31</v>
      </c>
      <c r="G32" s="4" t="str">
        <f>IF(Bilanca!H39=0,"",Bilanca!H39)</f>
        <v/>
      </c>
      <c r="H32" s="26">
        <f t="shared" si="0"/>
        <v>0</v>
      </c>
      <c r="I32" s="27">
        <f t="shared" si="1"/>
        <v>0</v>
      </c>
      <c r="J32" s="27">
        <f>Bilanca!I39</f>
        <v>0</v>
      </c>
      <c r="K32" s="27">
        <f>Bilanca!J39</f>
        <v>0</v>
      </c>
    </row>
    <row r="33" spans="1:11" x14ac:dyDescent="0.2">
      <c r="A33" s="4" t="s">
        <v>2901</v>
      </c>
      <c r="B33" s="25" t="s">
        <v>883</v>
      </c>
      <c r="D33" s="4" t="s">
        <v>554</v>
      </c>
      <c r="E33" s="4">
        <v>1</v>
      </c>
      <c r="F33" s="4">
        <f>Bilanca!G40</f>
        <v>32</v>
      </c>
      <c r="G33" s="4" t="str">
        <f>IF(Bilanca!H40=0,"",Bilanca!H40)</f>
        <v/>
      </c>
      <c r="H33" s="26">
        <f t="shared" si="0"/>
        <v>0</v>
      </c>
      <c r="I33" s="27">
        <f t="shared" si="1"/>
        <v>0</v>
      </c>
      <c r="J33" s="27">
        <f>Bilanca!I40</f>
        <v>0</v>
      </c>
      <c r="K33" s="27">
        <f>Bilanca!J40</f>
        <v>0</v>
      </c>
    </row>
    <row r="34" spans="1:11" x14ac:dyDescent="0.2">
      <c r="A34" s="4" t="s">
        <v>2902</v>
      </c>
      <c r="B34" s="25" t="s">
        <v>883</v>
      </c>
      <c r="D34" s="4" t="s">
        <v>554</v>
      </c>
      <c r="E34" s="4">
        <v>1</v>
      </c>
      <c r="F34" s="4">
        <f>Bilanca!G41</f>
        <v>33</v>
      </c>
      <c r="G34" s="4" t="str">
        <f>IF(Bilanca!H41=0,"",Bilanca!H41)</f>
        <v/>
      </c>
      <c r="H34" s="26">
        <f t="shared" si="0"/>
        <v>0</v>
      </c>
      <c r="I34" s="27">
        <f t="shared" si="1"/>
        <v>0</v>
      </c>
      <c r="J34" s="27">
        <f>Bilanca!I41</f>
        <v>0</v>
      </c>
      <c r="K34" s="27">
        <f>Bilanca!J41</f>
        <v>0</v>
      </c>
    </row>
    <row r="35" spans="1:11" x14ac:dyDescent="0.2">
      <c r="A35" s="4" t="s">
        <v>2903</v>
      </c>
      <c r="B35" s="25" t="s">
        <v>883</v>
      </c>
      <c r="D35" s="4" t="s">
        <v>554</v>
      </c>
      <c r="E35" s="4">
        <v>1</v>
      </c>
      <c r="F35" s="4">
        <f>Bilanca!G42</f>
        <v>34</v>
      </c>
      <c r="G35" s="4" t="str">
        <f>IF(Bilanca!H42=0,"",Bilanca!H42)</f>
        <v/>
      </c>
      <c r="H35" s="26">
        <f t="shared" si="0"/>
        <v>0</v>
      </c>
      <c r="I35" s="27">
        <f t="shared" si="1"/>
        <v>0</v>
      </c>
      <c r="J35" s="27">
        <f>Bilanca!I42</f>
        <v>0</v>
      </c>
      <c r="K35" s="27">
        <f>Bilanca!J42</f>
        <v>0</v>
      </c>
    </row>
    <row r="36" spans="1:11" x14ac:dyDescent="0.2">
      <c r="A36" s="4" t="s">
        <v>2904</v>
      </c>
      <c r="B36" s="25" t="s">
        <v>883</v>
      </c>
      <c r="D36" s="4" t="s">
        <v>554</v>
      </c>
      <c r="E36" s="4">
        <v>1</v>
      </c>
      <c r="F36" s="4">
        <f>Bilanca!G43</f>
        <v>35</v>
      </c>
      <c r="G36" s="4" t="str">
        <f>IF(Bilanca!H43=0,"",Bilanca!H43)</f>
        <v/>
      </c>
      <c r="H36" s="26">
        <f t="shared" si="0"/>
        <v>0</v>
      </c>
      <c r="I36" s="27">
        <f t="shared" si="1"/>
        <v>0</v>
      </c>
      <c r="J36" s="27">
        <f>Bilanca!I43</f>
        <v>0</v>
      </c>
      <c r="K36" s="27">
        <f>Bilanca!J43</f>
        <v>0</v>
      </c>
    </row>
    <row r="37" spans="1:11" x14ac:dyDescent="0.2">
      <c r="A37" s="4" t="s">
        <v>2905</v>
      </c>
      <c r="B37" s="25">
        <f>RefStr!B64</f>
        <v>0</v>
      </c>
      <c r="D37" s="4" t="s">
        <v>554</v>
      </c>
      <c r="E37" s="4">
        <v>1</v>
      </c>
      <c r="F37" s="4">
        <f>Bilanca!G44</f>
        <v>36</v>
      </c>
      <c r="G37" s="4" t="str">
        <f>IF(Bilanca!H44=0,"",Bilanca!H44)</f>
        <v/>
      </c>
      <c r="H37" s="26">
        <f t="shared" si="0"/>
        <v>85214.16</v>
      </c>
      <c r="I37" s="27">
        <f t="shared" si="1"/>
        <v>0</v>
      </c>
      <c r="J37" s="27">
        <f>Bilanca!I44</f>
        <v>83506</v>
      </c>
      <c r="K37" s="27">
        <f>Bilanca!J44</f>
        <v>76600</v>
      </c>
    </row>
    <row r="38" spans="1:11" x14ac:dyDescent="0.2">
      <c r="A38" s="4" t="s">
        <v>2906</v>
      </c>
      <c r="B38" s="25">
        <f>RefStr!B66</f>
        <v>0</v>
      </c>
      <c r="D38" s="4" t="s">
        <v>554</v>
      </c>
      <c r="E38" s="4">
        <v>1</v>
      </c>
      <c r="F38" s="4">
        <f>Bilanca!G45</f>
        <v>37</v>
      </c>
      <c r="G38" s="4" t="str">
        <f>IF(Bilanca!H45=0,"",Bilanca!H45)</f>
        <v/>
      </c>
      <c r="H38" s="26">
        <f t="shared" si="0"/>
        <v>6697694.1199999992</v>
      </c>
      <c r="I38" s="27">
        <f t="shared" si="1"/>
        <v>0</v>
      </c>
      <c r="J38" s="27">
        <f>Bilanca!I45</f>
        <v>5814854</v>
      </c>
      <c r="K38" s="27">
        <f>Bilanca!J45</f>
        <v>6143511</v>
      </c>
    </row>
    <row r="39" spans="1:11" x14ac:dyDescent="0.2">
      <c r="A39" s="4" t="s">
        <v>1611</v>
      </c>
      <c r="B39" s="25" t="str">
        <f>RefStr!C68</f>
        <v>ASJA FUĆAK</v>
      </c>
      <c r="D39" s="4" t="s">
        <v>554</v>
      </c>
      <c r="E39" s="4">
        <v>1</v>
      </c>
      <c r="F39" s="4">
        <f>Bilanca!G46</f>
        <v>38</v>
      </c>
      <c r="G39" s="4" t="str">
        <f>IF(Bilanca!H46=0,"",Bilanca!H46)</f>
        <v/>
      </c>
      <c r="H39" s="26">
        <f t="shared" si="0"/>
        <v>0</v>
      </c>
      <c r="I39" s="27">
        <f t="shared" si="1"/>
        <v>0</v>
      </c>
      <c r="J39" s="27">
        <f>Bilanca!I46</f>
        <v>0</v>
      </c>
      <c r="K39" s="27">
        <f>Bilanca!J46</f>
        <v>0</v>
      </c>
    </row>
    <row r="40" spans="1:11" x14ac:dyDescent="0.2">
      <c r="A40" s="4" t="s">
        <v>1612</v>
      </c>
      <c r="B40" s="25" t="str">
        <f>TRIM(RefStr!C70)</f>
        <v>+38551564528</v>
      </c>
      <c r="D40" s="4" t="s">
        <v>554</v>
      </c>
      <c r="E40" s="4">
        <v>1</v>
      </c>
      <c r="F40" s="4">
        <f>Bilanca!G47</f>
        <v>39</v>
      </c>
      <c r="G40" s="4" t="str">
        <f>IF(Bilanca!H47=0,"",Bilanca!H47)</f>
        <v/>
      </c>
      <c r="H40" s="26">
        <f t="shared" si="0"/>
        <v>0</v>
      </c>
      <c r="I40" s="27">
        <f t="shared" si="1"/>
        <v>0</v>
      </c>
      <c r="J40" s="27">
        <f>Bilanca!I47</f>
        <v>0</v>
      </c>
      <c r="K40" s="27">
        <f>Bilanca!J47</f>
        <v>0</v>
      </c>
    </row>
    <row r="41" spans="1:11" x14ac:dyDescent="0.2">
      <c r="A41" s="4" t="s">
        <v>1613</v>
      </c>
      <c r="B41" s="25" t="s">
        <v>72</v>
      </c>
      <c r="D41" s="4" t="s">
        <v>554</v>
      </c>
      <c r="E41" s="4">
        <v>1</v>
      </c>
      <c r="F41" s="4">
        <f>Bilanca!G48</f>
        <v>40</v>
      </c>
      <c r="G41" s="4" t="str">
        <f>IF(Bilanca!H48=0,"",Bilanca!H48)</f>
        <v/>
      </c>
      <c r="H41" s="26">
        <f t="shared" si="0"/>
        <v>0</v>
      </c>
      <c r="I41" s="27">
        <f t="shared" si="1"/>
        <v>0</v>
      </c>
      <c r="J41" s="27">
        <f>Bilanca!I48</f>
        <v>0</v>
      </c>
      <c r="K41" s="27">
        <f>Bilanca!J48</f>
        <v>0</v>
      </c>
    </row>
    <row r="42" spans="1:11" x14ac:dyDescent="0.2">
      <c r="A42" s="4" t="s">
        <v>1300</v>
      </c>
      <c r="B42" s="25" t="str">
        <f>TRIM(RefStr!C72)</f>
        <v>asja.fucak@poslovni-sustavi.hr</v>
      </c>
      <c r="D42" s="4" t="s">
        <v>554</v>
      </c>
      <c r="E42" s="4">
        <v>1</v>
      </c>
      <c r="F42" s="4">
        <f>Bilanca!G49</f>
        <v>41</v>
      </c>
      <c r="G42" s="4" t="str">
        <f>IF(Bilanca!H49=0,"",Bilanca!H49)</f>
        <v/>
      </c>
      <c r="H42" s="26">
        <f t="shared" si="0"/>
        <v>0</v>
      </c>
      <c r="I42" s="27">
        <f t="shared" si="1"/>
        <v>0</v>
      </c>
      <c r="J42" s="27">
        <f>Bilanca!I49</f>
        <v>0</v>
      </c>
      <c r="K42" s="27">
        <f>Bilanca!J49</f>
        <v>0</v>
      </c>
    </row>
    <row r="43" spans="1:11" x14ac:dyDescent="0.2">
      <c r="A43" s="4" t="s">
        <v>1299</v>
      </c>
      <c r="B43" s="25" t="str">
        <f>TRIM(RefStr!A75)</f>
        <v>LUČIĆ SILVIJA</v>
      </c>
      <c r="D43" s="4" t="s">
        <v>554</v>
      </c>
      <c r="E43" s="4">
        <v>1</v>
      </c>
      <c r="F43" s="4">
        <f>Bilanca!G50</f>
        <v>42</v>
      </c>
      <c r="G43" s="4" t="str">
        <f>IF(Bilanca!H50=0,"",Bilanca!H50)</f>
        <v/>
      </c>
      <c r="H43" s="26">
        <f t="shared" si="0"/>
        <v>0</v>
      </c>
      <c r="I43" s="27">
        <f t="shared" si="1"/>
        <v>0</v>
      </c>
      <c r="J43" s="27">
        <f>Bilanca!I50</f>
        <v>0</v>
      </c>
      <c r="K43" s="27">
        <f>Bilanca!J50</f>
        <v>0</v>
      </c>
    </row>
    <row r="44" spans="1:11" x14ac:dyDescent="0.2">
      <c r="A44" s="4" t="s">
        <v>2610</v>
      </c>
      <c r="B44" s="25" t="str">
        <f>IF(RefStr!C4&lt;&gt;"",TEXT(RefStr!C4,"YYYYMMDD"),"")</f>
        <v>20210101</v>
      </c>
      <c r="D44" s="4" t="s">
        <v>554</v>
      </c>
      <c r="E44" s="4">
        <v>1</v>
      </c>
      <c r="F44" s="4">
        <f>Bilanca!G51</f>
        <v>43</v>
      </c>
      <c r="G44" s="4" t="str">
        <f>IF(Bilanca!H51=0,"",Bilanca!H51)</f>
        <v/>
      </c>
      <c r="H44" s="26">
        <f t="shared" si="0"/>
        <v>0</v>
      </c>
      <c r="I44" s="27">
        <f t="shared" si="1"/>
        <v>0</v>
      </c>
      <c r="J44" s="27">
        <f>Bilanca!I51</f>
        <v>0</v>
      </c>
      <c r="K44" s="27">
        <f>Bilanca!J51</f>
        <v>0</v>
      </c>
    </row>
    <row r="45" spans="1:11" x14ac:dyDescent="0.2">
      <c r="A45" s="4" t="s">
        <v>2611</v>
      </c>
      <c r="B45" s="25" t="str">
        <f>IF(RefStr!F4&lt;&gt;"",TEXT(RefStr!F4,"YYYYMMDD"),"")</f>
        <v>20211231</v>
      </c>
      <c r="D45" s="4" t="s">
        <v>554</v>
      </c>
      <c r="E45" s="4">
        <v>1</v>
      </c>
      <c r="F45" s="4">
        <f>Bilanca!G52</f>
        <v>44</v>
      </c>
      <c r="G45" s="4" t="str">
        <f>IF(Bilanca!H52=0,"",Bilanca!H52)</f>
        <v/>
      </c>
      <c r="H45" s="26">
        <f t="shared" si="0"/>
        <v>0</v>
      </c>
      <c r="I45" s="27">
        <f t="shared" si="1"/>
        <v>0</v>
      </c>
      <c r="J45" s="27">
        <f>Bilanca!I52</f>
        <v>0</v>
      </c>
      <c r="K45" s="27">
        <f>Bilanca!J52</f>
        <v>0</v>
      </c>
    </row>
    <row r="46" spans="1:11" x14ac:dyDescent="0.2">
      <c r="A46" s="4" t="s">
        <v>2225</v>
      </c>
      <c r="B46" s="25" t="str">
        <f>IF(Bilanca!Q1&lt;&gt;0,"DA", "NE")</f>
        <v>DA</v>
      </c>
      <c r="D46" s="4" t="s">
        <v>554</v>
      </c>
      <c r="E46" s="4">
        <v>1</v>
      </c>
      <c r="F46" s="4">
        <f>Bilanca!G53</f>
        <v>45</v>
      </c>
      <c r="G46" s="4" t="str">
        <f>IF(Bilanca!H53=0,"",Bilanca!H53)</f>
        <v/>
      </c>
      <c r="H46" s="26">
        <f t="shared" ref="H46:H86" si="2">J46/100*F46+2*K46/100*F46</f>
        <v>0</v>
      </c>
      <c r="I46" s="27">
        <f t="shared" ref="I46:I86" si="3">ABS(ROUND(J46,0)-J46)+ABS(ROUND(K46,0)-K46)</f>
        <v>0</v>
      </c>
      <c r="J46" s="27">
        <f>Bilanca!I53</f>
        <v>0</v>
      </c>
      <c r="K46" s="27">
        <f>Bilanca!J53</f>
        <v>0</v>
      </c>
    </row>
    <row r="47" spans="1:11" x14ac:dyDescent="0.2">
      <c r="A47" s="4" t="s">
        <v>2224</v>
      </c>
      <c r="B47" s="25" t="str">
        <f>IF(RDG!Q1&lt;&gt;0, "DA","NE")</f>
        <v>DA</v>
      </c>
      <c r="D47" s="4" t="s">
        <v>554</v>
      </c>
      <c r="E47" s="4">
        <v>1</v>
      </c>
      <c r="F47" s="4">
        <f>Bilanca!G54</f>
        <v>46</v>
      </c>
      <c r="G47" s="4" t="str">
        <f>IF(Bilanca!H54=0,"",Bilanca!H54)</f>
        <v/>
      </c>
      <c r="H47" s="26">
        <f t="shared" si="2"/>
        <v>3803762.08</v>
      </c>
      <c r="I47" s="27">
        <f t="shared" si="3"/>
        <v>0</v>
      </c>
      <c r="J47" s="27">
        <f>Bilanca!I54</f>
        <v>2750846</v>
      </c>
      <c r="K47" s="27">
        <f>Bilanca!J54</f>
        <v>2759101</v>
      </c>
    </row>
    <row r="48" spans="1:11" x14ac:dyDescent="0.2">
      <c r="A48" s="4" t="s">
        <v>2226</v>
      </c>
      <c r="B48" s="25" t="str">
        <f>RefStr!I54</f>
        <v>NE</v>
      </c>
      <c r="D48" s="4" t="s">
        <v>554</v>
      </c>
      <c r="E48" s="4">
        <v>1</v>
      </c>
      <c r="F48" s="4">
        <f>Bilanca!G55</f>
        <v>47</v>
      </c>
      <c r="G48" s="4" t="str">
        <f>IF(Bilanca!H55=0,"",Bilanca!H55)</f>
        <v/>
      </c>
      <c r="H48" s="26">
        <f t="shared" si="2"/>
        <v>0</v>
      </c>
      <c r="I48" s="27">
        <f t="shared" si="3"/>
        <v>0</v>
      </c>
      <c r="J48" s="27">
        <f>Bilanca!I55</f>
        <v>0</v>
      </c>
      <c r="K48" s="27">
        <f>Bilanca!J55</f>
        <v>0</v>
      </c>
    </row>
    <row r="49" spans="1:11" x14ac:dyDescent="0.2">
      <c r="A49" s="4" t="s">
        <v>2228</v>
      </c>
      <c r="B49" s="25" t="str">
        <f>IF(NT_I!Q1&lt;&gt;0,"DA","NE")</f>
        <v>NE</v>
      </c>
      <c r="D49" s="4" t="s">
        <v>554</v>
      </c>
      <c r="E49" s="4">
        <v>1</v>
      </c>
      <c r="F49" s="4">
        <f>Bilanca!G56</f>
        <v>48</v>
      </c>
      <c r="G49" s="4" t="str">
        <f>IF(Bilanca!H56=0,"",Bilanca!H56)</f>
        <v/>
      </c>
      <c r="H49" s="26">
        <f t="shared" si="2"/>
        <v>0</v>
      </c>
      <c r="I49" s="27">
        <f t="shared" si="3"/>
        <v>0</v>
      </c>
      <c r="J49" s="27">
        <f>Bilanca!I56</f>
        <v>0</v>
      </c>
      <c r="K49" s="27">
        <f>Bilanca!J56</f>
        <v>0</v>
      </c>
    </row>
    <row r="50" spans="1:11" x14ac:dyDescent="0.2">
      <c r="A50" s="4" t="s">
        <v>2227</v>
      </c>
      <c r="B50" s="25" t="str">
        <f>IF(NT_D!Q1&lt;&gt;0, "DA", "NE")</f>
        <v>NE</v>
      </c>
      <c r="D50" s="4" t="s">
        <v>554</v>
      </c>
      <c r="E50" s="4">
        <v>1</v>
      </c>
      <c r="F50" s="4">
        <f>Bilanca!G57</f>
        <v>49</v>
      </c>
      <c r="G50" s="4" t="str">
        <f>IF(Bilanca!H57=0,"",Bilanca!H57)</f>
        <v/>
      </c>
      <c r="H50" s="26">
        <f t="shared" si="2"/>
        <v>3861424.42</v>
      </c>
      <c r="I50" s="27">
        <f t="shared" si="3"/>
        <v>0</v>
      </c>
      <c r="J50" s="27">
        <f>Bilanca!I57</f>
        <v>2681608</v>
      </c>
      <c r="K50" s="27">
        <f>Bilanca!J57</f>
        <v>2599425</v>
      </c>
    </row>
    <row r="51" spans="1:11" x14ac:dyDescent="0.2">
      <c r="A51" s="4" t="s">
        <v>1035</v>
      </c>
      <c r="B51" s="25" t="str">
        <f>RefStr!I60</f>
        <v>NE</v>
      </c>
      <c r="D51" s="4" t="s">
        <v>554</v>
      </c>
      <c r="E51" s="4">
        <v>1</v>
      </c>
      <c r="F51" s="4">
        <f>Bilanca!G58</f>
        <v>50</v>
      </c>
      <c r="G51" s="4" t="str">
        <f>IF(Bilanca!H58=0,"",Bilanca!H58)</f>
        <v/>
      </c>
      <c r="H51" s="26">
        <f t="shared" si="2"/>
        <v>18633.5</v>
      </c>
      <c r="I51" s="27">
        <f t="shared" si="3"/>
        <v>0</v>
      </c>
      <c r="J51" s="27">
        <f>Bilanca!I58</f>
        <v>19063</v>
      </c>
      <c r="K51" s="27">
        <f>Bilanca!J58</f>
        <v>9102</v>
      </c>
    </row>
    <row r="52" spans="1:11" x14ac:dyDescent="0.2">
      <c r="A52" s="4" t="s">
        <v>1614</v>
      </c>
      <c r="B52" s="25" t="s">
        <v>1237</v>
      </c>
      <c r="D52" s="4" t="s">
        <v>554</v>
      </c>
      <c r="E52" s="4">
        <v>1</v>
      </c>
      <c r="F52" s="4">
        <f>Bilanca!G59</f>
        <v>51</v>
      </c>
      <c r="G52" s="4" t="str">
        <f>IF(Bilanca!H59=0,"",Bilanca!H59)</f>
        <v/>
      </c>
      <c r="H52" s="26">
        <f t="shared" si="2"/>
        <v>142381.29</v>
      </c>
      <c r="I52" s="27">
        <f t="shared" si="3"/>
        <v>0</v>
      </c>
      <c r="J52" s="27">
        <f>Bilanca!I59</f>
        <v>49549</v>
      </c>
      <c r="K52" s="27">
        <f>Bilanca!J59</f>
        <v>114815</v>
      </c>
    </row>
    <row r="53" spans="1:11" x14ac:dyDescent="0.2">
      <c r="A53" s="4" t="s">
        <v>1301</v>
      </c>
      <c r="B53" s="25" t="str">
        <f>RefStr!I56</f>
        <v>DA</v>
      </c>
      <c r="D53" s="4" t="s">
        <v>554</v>
      </c>
      <c r="E53" s="4">
        <v>1</v>
      </c>
      <c r="F53" s="4">
        <f>Bilanca!G60</f>
        <v>52</v>
      </c>
      <c r="G53" s="4" t="str">
        <f>IF(Bilanca!H60=0,"",Bilanca!H60)</f>
        <v/>
      </c>
      <c r="H53" s="26">
        <f t="shared" si="2"/>
        <v>37514.879999999997</v>
      </c>
      <c r="I53" s="27">
        <f t="shared" si="3"/>
        <v>0</v>
      </c>
      <c r="J53" s="27">
        <f>Bilanca!I60</f>
        <v>626</v>
      </c>
      <c r="K53" s="27">
        <f>Bilanca!J60</f>
        <v>35759</v>
      </c>
    </row>
    <row r="54" spans="1:11" x14ac:dyDescent="0.2">
      <c r="A54" s="4" t="s">
        <v>1302</v>
      </c>
      <c r="B54" s="25" t="str">
        <f>RefStr!I62</f>
        <v>NE</v>
      </c>
      <c r="D54" s="4" t="s">
        <v>554</v>
      </c>
      <c r="E54" s="4">
        <v>1</v>
      </c>
      <c r="F54" s="4">
        <f>Bilanca!G61</f>
        <v>53</v>
      </c>
      <c r="G54" s="4" t="str">
        <f>IF(Bilanca!H61=0,"",Bilanca!H61)</f>
        <v/>
      </c>
      <c r="H54" s="26">
        <f t="shared" si="2"/>
        <v>0</v>
      </c>
      <c r="I54" s="27">
        <f t="shared" si="3"/>
        <v>0</v>
      </c>
      <c r="J54" s="27">
        <f>Bilanca!I61</f>
        <v>0</v>
      </c>
      <c r="K54" s="27">
        <f>Bilanca!J61</f>
        <v>0</v>
      </c>
    </row>
    <row r="55" spans="1:11" x14ac:dyDescent="0.2">
      <c r="A55" s="4" t="s">
        <v>16</v>
      </c>
      <c r="B55" s="25" t="str">
        <f>RefStr!I64</f>
        <v>NE</v>
      </c>
      <c r="D55" s="4" t="s">
        <v>554</v>
      </c>
      <c r="E55" s="4">
        <v>1</v>
      </c>
      <c r="F55" s="4">
        <f>Bilanca!G62</f>
        <v>54</v>
      </c>
      <c r="G55" s="4" t="str">
        <f>IF(Bilanca!H62=0,"",Bilanca!H62)</f>
        <v/>
      </c>
      <c r="H55" s="26">
        <f t="shared" si="2"/>
        <v>0</v>
      </c>
      <c r="I55" s="27">
        <f t="shared" si="3"/>
        <v>0</v>
      </c>
      <c r="J55" s="27">
        <f>Bilanca!I62</f>
        <v>0</v>
      </c>
      <c r="K55" s="27">
        <f>Bilanca!J62</f>
        <v>0</v>
      </c>
    </row>
    <row r="56" spans="1:11" x14ac:dyDescent="0.2">
      <c r="A56" s="4" t="s">
        <v>17</v>
      </c>
      <c r="B56" s="25" t="str">
        <f>RefStr!I66</f>
        <v>DA</v>
      </c>
      <c r="D56" s="4" t="s">
        <v>554</v>
      </c>
      <c r="E56" s="4">
        <v>1</v>
      </c>
      <c r="F56" s="4">
        <f>Bilanca!G63</f>
        <v>55</v>
      </c>
      <c r="G56" s="4" t="str">
        <f>IF(Bilanca!H63=0,"",Bilanca!H63)</f>
        <v/>
      </c>
      <c r="H56" s="26">
        <f t="shared" si="2"/>
        <v>0</v>
      </c>
      <c r="I56" s="27">
        <f t="shared" si="3"/>
        <v>0</v>
      </c>
      <c r="J56" s="27">
        <f>Bilanca!I63</f>
        <v>0</v>
      </c>
      <c r="K56" s="27">
        <f>Bilanca!J63</f>
        <v>0</v>
      </c>
    </row>
    <row r="57" spans="1:11" x14ac:dyDescent="0.2">
      <c r="A57" s="4" t="s">
        <v>18</v>
      </c>
      <c r="B57" s="25" t="str">
        <f>RefStr!I68</f>
        <v>DA</v>
      </c>
      <c r="D57" s="4" t="s">
        <v>554</v>
      </c>
      <c r="E57" s="4">
        <v>1</v>
      </c>
      <c r="F57" s="4">
        <f>Bilanca!G64</f>
        <v>56</v>
      </c>
      <c r="G57" s="4" t="str">
        <f>IF(Bilanca!H64=0,"",Bilanca!H64)</f>
        <v/>
      </c>
      <c r="H57" s="26">
        <f t="shared" si="2"/>
        <v>0</v>
      </c>
      <c r="I57" s="27">
        <f t="shared" si="3"/>
        <v>0</v>
      </c>
      <c r="J57" s="27">
        <f>Bilanca!I64</f>
        <v>0</v>
      </c>
      <c r="K57" s="27">
        <f>Bilanca!J64</f>
        <v>0</v>
      </c>
    </row>
    <row r="58" spans="1:11" x14ac:dyDescent="0.2">
      <c r="A58" s="4" t="s">
        <v>2449</v>
      </c>
      <c r="B58" s="25" t="str">
        <f ca="1">IF(Kont!J4&gt;0,"NE", "DA")</f>
        <v>DA</v>
      </c>
      <c r="D58" s="4" t="s">
        <v>554</v>
      </c>
      <c r="E58" s="4">
        <v>1</v>
      </c>
      <c r="F58" s="4">
        <f>Bilanca!G65</f>
        <v>57</v>
      </c>
      <c r="G58" s="4" t="str">
        <f>IF(Bilanca!H65=0,"",Bilanca!H65)</f>
        <v/>
      </c>
      <c r="H58" s="26">
        <f t="shared" si="2"/>
        <v>0</v>
      </c>
      <c r="I58" s="27">
        <f t="shared" si="3"/>
        <v>0</v>
      </c>
      <c r="J58" s="27">
        <f>Bilanca!I65</f>
        <v>0</v>
      </c>
      <c r="K58" s="27">
        <f>Bilanca!J65</f>
        <v>0</v>
      </c>
    </row>
    <row r="59" spans="1:11" x14ac:dyDescent="0.2">
      <c r="A59" s="4" t="s">
        <v>393</v>
      </c>
      <c r="B59" s="26">
        <f>SUM(H2:H446)+SUM(RefStr!Q9:Q65)</f>
        <v>1080563181.49</v>
      </c>
      <c r="D59" s="4" t="s">
        <v>554</v>
      </c>
      <c r="E59" s="4">
        <v>1</v>
      </c>
      <c r="F59" s="4">
        <f>Bilanca!G66</f>
        <v>58</v>
      </c>
      <c r="G59" s="4" t="str">
        <f>IF(Bilanca!H66=0,"",Bilanca!H66)</f>
        <v/>
      </c>
      <c r="H59" s="26">
        <f t="shared" si="2"/>
        <v>0</v>
      </c>
      <c r="I59" s="27">
        <f t="shared" si="3"/>
        <v>0</v>
      </c>
      <c r="J59" s="27">
        <f>Bilanca!I66</f>
        <v>0</v>
      </c>
      <c r="K59" s="27">
        <f>Bilanca!J66</f>
        <v>0</v>
      </c>
    </row>
    <row r="60" spans="1:11" x14ac:dyDescent="0.2">
      <c r="A60" s="4" t="s">
        <v>1448</v>
      </c>
      <c r="B60" s="25" t="s">
        <v>883</v>
      </c>
      <c r="D60" s="4" t="s">
        <v>554</v>
      </c>
      <c r="E60" s="4">
        <v>1</v>
      </c>
      <c r="F60" s="4">
        <f>Bilanca!G67</f>
        <v>59</v>
      </c>
      <c r="G60" s="4" t="str">
        <f>IF(Bilanca!H67=0,"",Bilanca!H67)</f>
        <v/>
      </c>
      <c r="H60" s="26">
        <f t="shared" si="2"/>
        <v>0</v>
      </c>
      <c r="I60" s="27">
        <f t="shared" si="3"/>
        <v>0</v>
      </c>
      <c r="J60" s="27">
        <f>Bilanca!I67</f>
        <v>0</v>
      </c>
      <c r="K60" s="27">
        <f>Bilanca!J67</f>
        <v>0</v>
      </c>
    </row>
    <row r="61" spans="1:11" x14ac:dyDescent="0.2">
      <c r="A61" s="4" t="s">
        <v>2801</v>
      </c>
      <c r="B61" s="26">
        <v>0</v>
      </c>
      <c r="D61" s="4" t="s">
        <v>554</v>
      </c>
      <c r="E61" s="4">
        <v>1</v>
      </c>
      <c r="F61" s="4">
        <f>Bilanca!G68</f>
        <v>60</v>
      </c>
      <c r="G61" s="4" t="str">
        <f>IF(Bilanca!H68=0,"",Bilanca!H68)</f>
        <v/>
      </c>
      <c r="H61" s="26">
        <f t="shared" si="2"/>
        <v>0</v>
      </c>
      <c r="I61" s="27">
        <f t="shared" si="3"/>
        <v>0</v>
      </c>
      <c r="J61" s="27">
        <f>Bilanca!I68</f>
        <v>0</v>
      </c>
      <c r="K61" s="27">
        <f>Bilanca!J68</f>
        <v>0</v>
      </c>
    </row>
    <row r="62" spans="1:11" x14ac:dyDescent="0.2">
      <c r="A62" s="4" t="s">
        <v>573</v>
      </c>
      <c r="B62" s="25">
        <f>RefStr!I70</f>
        <v>0</v>
      </c>
      <c r="D62" s="4" t="s">
        <v>554</v>
      </c>
      <c r="E62" s="4">
        <v>1</v>
      </c>
      <c r="F62" s="4">
        <f>Bilanca!G69</f>
        <v>61</v>
      </c>
      <c r="G62" s="4" t="str">
        <f>IF(Bilanca!H69=0,"",Bilanca!H69)</f>
        <v/>
      </c>
      <c r="H62" s="26">
        <f t="shared" si="2"/>
        <v>0</v>
      </c>
      <c r="I62" s="27">
        <f t="shared" si="3"/>
        <v>0</v>
      </c>
      <c r="J62" s="27">
        <f>Bilanca!I69</f>
        <v>0</v>
      </c>
      <c r="K62" s="27">
        <f>Bilanca!J69</f>
        <v>0</v>
      </c>
    </row>
    <row r="63" spans="1:11" x14ac:dyDescent="0.2">
      <c r="A63" s="4" t="s">
        <v>614</v>
      </c>
      <c r="B63" s="25" t="str">
        <f>IF(ISNUMBER(VALUE(RefStr!L21)),TEXT(INT(VALUE(RefStr!L21)),"00000000000"),"")</f>
        <v>00000000000</v>
      </c>
      <c r="D63" s="4" t="s">
        <v>554</v>
      </c>
      <c r="E63" s="4">
        <v>1</v>
      </c>
      <c r="F63" s="4">
        <f>Bilanca!G70</f>
        <v>62</v>
      </c>
      <c r="G63" s="4" t="str">
        <f>IF(Bilanca!H70=0,"",Bilanca!H70)</f>
        <v/>
      </c>
      <c r="H63" s="26">
        <f t="shared" si="2"/>
        <v>0</v>
      </c>
      <c r="I63" s="27">
        <f t="shared" si="3"/>
        <v>0</v>
      </c>
      <c r="J63" s="27">
        <f>Bilanca!I70</f>
        <v>0</v>
      </c>
      <c r="K63" s="27">
        <f>Bilanca!J70</f>
        <v>0</v>
      </c>
    </row>
    <row r="64" spans="1:11" x14ac:dyDescent="0.2">
      <c r="A64" s="4" t="s">
        <v>200</v>
      </c>
      <c r="B64" s="25" t="str">
        <f>RefStr!N6</f>
        <v>DA</v>
      </c>
      <c r="D64" s="4" t="s">
        <v>554</v>
      </c>
      <c r="E64" s="4">
        <v>1</v>
      </c>
      <c r="F64" s="4">
        <f>Bilanca!G71</f>
        <v>63</v>
      </c>
      <c r="G64" s="4" t="str">
        <f>IF(Bilanca!H71=0,"",Bilanca!H71)</f>
        <v/>
      </c>
      <c r="H64" s="26">
        <f t="shared" si="2"/>
        <v>6194681.6399999997</v>
      </c>
      <c r="I64" s="27">
        <f t="shared" si="3"/>
        <v>0</v>
      </c>
      <c r="J64" s="27">
        <f>Bilanca!I71</f>
        <v>3064008</v>
      </c>
      <c r="K64" s="27">
        <f>Bilanca!J71</f>
        <v>3384410</v>
      </c>
    </row>
    <row r="65" spans="1:11" x14ac:dyDescent="0.2">
      <c r="A65" s="4" t="s">
        <v>923</v>
      </c>
      <c r="B65" s="25" t="str">
        <f>TRIM(RefStr!N19)</f>
        <v>HSFI</v>
      </c>
      <c r="D65" s="4" t="s">
        <v>554</v>
      </c>
      <c r="E65" s="4">
        <v>1</v>
      </c>
      <c r="F65" s="4">
        <f>Bilanca!G72</f>
        <v>64</v>
      </c>
      <c r="G65" s="4" t="str">
        <f>IF(Bilanca!H72=0,"",Bilanca!H72)</f>
        <v/>
      </c>
      <c r="H65" s="26">
        <f t="shared" si="2"/>
        <v>133310.72</v>
      </c>
      <c r="I65" s="27">
        <f t="shared" si="3"/>
        <v>0</v>
      </c>
      <c r="J65" s="27">
        <f>Bilanca!I72</f>
        <v>103060</v>
      </c>
      <c r="K65" s="27">
        <f>Bilanca!J72</f>
        <v>52619</v>
      </c>
    </row>
    <row r="66" spans="1:11" x14ac:dyDescent="0.2">
      <c r="A66" s="4" t="s">
        <v>924</v>
      </c>
      <c r="B66" s="25">
        <f>RefStr!C23</f>
        <v>1</v>
      </c>
      <c r="D66" s="4" t="s">
        <v>554</v>
      </c>
      <c r="E66" s="4">
        <v>1</v>
      </c>
      <c r="F66" s="4">
        <f>Bilanca!G73</f>
        <v>65</v>
      </c>
      <c r="G66" s="4" t="str">
        <f>IF(Bilanca!H73=0,"",Bilanca!H73)</f>
        <v/>
      </c>
      <c r="H66" s="26">
        <f t="shared" si="2"/>
        <v>13323212.5</v>
      </c>
      <c r="I66" s="27">
        <f t="shared" si="3"/>
        <v>0</v>
      </c>
      <c r="J66" s="27">
        <f>Bilanca!I73</f>
        <v>6596156</v>
      </c>
      <c r="K66" s="27">
        <f>Bilanca!J73</f>
        <v>6950547</v>
      </c>
    </row>
    <row r="67" spans="1:11" x14ac:dyDescent="0.2">
      <c r="A67" s="4" t="s">
        <v>925</v>
      </c>
      <c r="B67" s="25" t="str">
        <f>TRIM(RefStr!L35)</f>
        <v>051/564-446</v>
      </c>
      <c r="D67" s="4" t="s">
        <v>554</v>
      </c>
      <c r="E67" s="4">
        <v>1</v>
      </c>
      <c r="F67" s="4">
        <f>Bilanca!G74</f>
        <v>66</v>
      </c>
      <c r="G67" s="4" t="str">
        <f>IF(Bilanca!H74=0,"",Bilanca!H74)</f>
        <v/>
      </c>
      <c r="H67" s="26">
        <f t="shared" si="2"/>
        <v>0</v>
      </c>
      <c r="I67" s="27">
        <f t="shared" si="3"/>
        <v>0</v>
      </c>
      <c r="J67" s="27">
        <f>Bilanca!I74</f>
        <v>0</v>
      </c>
      <c r="K67" s="27">
        <f>Bilanca!J74</f>
        <v>0</v>
      </c>
    </row>
    <row r="68" spans="1:11" x14ac:dyDescent="0.2">
      <c r="A68" s="4" t="s">
        <v>926</v>
      </c>
      <c r="B68" s="25">
        <f>RefStr!C44</f>
        <v>1</v>
      </c>
      <c r="D68" s="4" t="s">
        <v>554</v>
      </c>
      <c r="E68" s="4">
        <v>1</v>
      </c>
      <c r="F68" s="4">
        <f>Bilanca!G76</f>
        <v>67</v>
      </c>
      <c r="G68" s="4" t="str">
        <f>IF(Bilanca!H76=0,"",Bilanca!H76)</f>
        <v/>
      </c>
      <c r="H68" s="26">
        <f t="shared" si="2"/>
        <v>8790365.8300000001</v>
      </c>
      <c r="I68" s="27">
        <f t="shared" si="3"/>
        <v>0</v>
      </c>
      <c r="J68" s="27">
        <f>Bilanca!I76</f>
        <v>4067939</v>
      </c>
      <c r="K68" s="27">
        <f>Bilanca!J76</f>
        <v>4526005</v>
      </c>
    </row>
    <row r="69" spans="1:11" x14ac:dyDescent="0.2">
      <c r="A69" s="4" t="s">
        <v>927</v>
      </c>
      <c r="B69" s="25" t="str">
        <f>TRIM(RefStr!M46)</f>
        <v/>
      </c>
      <c r="D69" s="4" t="s">
        <v>554</v>
      </c>
      <c r="E69" s="4">
        <v>1</v>
      </c>
      <c r="F69" s="4">
        <f>Bilanca!G77</f>
        <v>68</v>
      </c>
      <c r="G69" s="4" t="str">
        <f>IF(Bilanca!H77=0,"",Bilanca!H77)</f>
        <v/>
      </c>
      <c r="H69" s="26">
        <f t="shared" si="2"/>
        <v>61200</v>
      </c>
      <c r="I69" s="27">
        <f t="shared" si="3"/>
        <v>0</v>
      </c>
      <c r="J69" s="27">
        <f>Bilanca!I77</f>
        <v>30000</v>
      </c>
      <c r="K69" s="27">
        <f>Bilanca!J77</f>
        <v>30000</v>
      </c>
    </row>
    <row r="70" spans="1:11" x14ac:dyDescent="0.2">
      <c r="A70" s="4" t="s">
        <v>928</v>
      </c>
      <c r="B70" s="25">
        <f>RefStr!C46</f>
        <v>0</v>
      </c>
      <c r="D70" s="4" t="s">
        <v>554</v>
      </c>
      <c r="E70" s="4">
        <v>1</v>
      </c>
      <c r="F70" s="4">
        <f>Bilanca!G78</f>
        <v>69</v>
      </c>
      <c r="G70" s="4" t="str">
        <f>IF(Bilanca!H78=0,"",Bilanca!H78)</f>
        <v/>
      </c>
      <c r="H70" s="26">
        <f t="shared" si="2"/>
        <v>0</v>
      </c>
      <c r="I70" s="27">
        <f t="shared" si="3"/>
        <v>0</v>
      </c>
      <c r="J70" s="27">
        <f>Bilanca!I78</f>
        <v>0</v>
      </c>
      <c r="K70" s="27">
        <f>Bilanca!J78</f>
        <v>0</v>
      </c>
    </row>
    <row r="71" spans="1:11" x14ac:dyDescent="0.2">
      <c r="D71" s="4" t="s">
        <v>554</v>
      </c>
      <c r="E71" s="4">
        <v>1</v>
      </c>
      <c r="F71" s="4">
        <f>Bilanca!G79</f>
        <v>70</v>
      </c>
      <c r="G71" s="4" t="str">
        <f>IF(Bilanca!H79=0,"",Bilanca!H79)</f>
        <v/>
      </c>
      <c r="H71" s="26">
        <f t="shared" si="2"/>
        <v>0</v>
      </c>
      <c r="I71" s="27">
        <f t="shared" si="3"/>
        <v>0</v>
      </c>
      <c r="J71" s="27">
        <f>Bilanca!I79</f>
        <v>0</v>
      </c>
      <c r="K71" s="27">
        <f>Bilanca!J79</f>
        <v>0</v>
      </c>
    </row>
    <row r="72" spans="1:11" x14ac:dyDescent="0.2">
      <c r="D72" s="4" t="s">
        <v>554</v>
      </c>
      <c r="E72" s="4">
        <v>1</v>
      </c>
      <c r="F72" s="4">
        <f>Bilanca!G80</f>
        <v>71</v>
      </c>
      <c r="G72" s="4" t="str">
        <f>IF(Bilanca!H80=0,"",Bilanca!H80)</f>
        <v/>
      </c>
      <c r="H72" s="26">
        <f t="shared" si="2"/>
        <v>0</v>
      </c>
      <c r="I72" s="27">
        <f t="shared" si="3"/>
        <v>0</v>
      </c>
      <c r="J72" s="27">
        <f>Bilanca!I80</f>
        <v>0</v>
      </c>
      <c r="K72" s="27">
        <f>Bilanca!J80</f>
        <v>0</v>
      </c>
    </row>
    <row r="73" spans="1:11" x14ac:dyDescent="0.2">
      <c r="D73" s="4" t="s">
        <v>554</v>
      </c>
      <c r="E73" s="4">
        <v>1</v>
      </c>
      <c r="F73" s="4">
        <f>Bilanca!G81</f>
        <v>72</v>
      </c>
      <c r="G73" s="4" t="str">
        <f>IF(Bilanca!H81=0,"",Bilanca!H81)</f>
        <v/>
      </c>
      <c r="H73" s="26">
        <f t="shared" si="2"/>
        <v>0</v>
      </c>
      <c r="I73" s="27">
        <f t="shared" si="3"/>
        <v>0</v>
      </c>
      <c r="J73" s="27">
        <f>Bilanca!I81</f>
        <v>0</v>
      </c>
      <c r="K73" s="27">
        <f>Bilanca!J81</f>
        <v>0</v>
      </c>
    </row>
    <row r="74" spans="1:11" x14ac:dyDescent="0.2">
      <c r="D74" s="4" t="s">
        <v>554</v>
      </c>
      <c r="E74" s="4">
        <v>1</v>
      </c>
      <c r="F74" s="4">
        <f>Bilanca!G82</f>
        <v>73</v>
      </c>
      <c r="G74" s="4" t="str">
        <f>IF(Bilanca!H82=0,"",Bilanca!H82)</f>
        <v/>
      </c>
      <c r="H74" s="26">
        <f t="shared" si="2"/>
        <v>0</v>
      </c>
      <c r="I74" s="27">
        <f t="shared" si="3"/>
        <v>0</v>
      </c>
      <c r="J74" s="27">
        <f>Bilanca!I82</f>
        <v>0</v>
      </c>
      <c r="K74" s="27">
        <f>Bilanca!J82</f>
        <v>0</v>
      </c>
    </row>
    <row r="75" spans="1:11" x14ac:dyDescent="0.2">
      <c r="D75" s="4" t="s">
        <v>554</v>
      </c>
      <c r="E75" s="4">
        <v>1</v>
      </c>
      <c r="F75" s="4">
        <f>Bilanca!G83</f>
        <v>74</v>
      </c>
      <c r="G75" s="4" t="str">
        <f>IF(Bilanca!H83=0,"",Bilanca!H83)</f>
        <v/>
      </c>
      <c r="H75" s="26">
        <f t="shared" si="2"/>
        <v>0</v>
      </c>
      <c r="I75" s="27">
        <f t="shared" si="3"/>
        <v>0</v>
      </c>
      <c r="J75" s="27">
        <f>Bilanca!I83</f>
        <v>0</v>
      </c>
      <c r="K75" s="27">
        <f>Bilanca!J83</f>
        <v>0</v>
      </c>
    </row>
    <row r="76" spans="1:11" x14ac:dyDescent="0.2">
      <c r="D76" s="4" t="s">
        <v>554</v>
      </c>
      <c r="E76" s="4">
        <v>1</v>
      </c>
      <c r="F76" s="4">
        <f>Bilanca!G84</f>
        <v>75</v>
      </c>
      <c r="G76" s="4" t="str">
        <f>IF(Bilanca!H84=0,"",Bilanca!H84)</f>
        <v/>
      </c>
      <c r="H76" s="26">
        <f t="shared" si="2"/>
        <v>0</v>
      </c>
      <c r="I76" s="27">
        <f t="shared" si="3"/>
        <v>0</v>
      </c>
      <c r="J76" s="27">
        <f>Bilanca!I84</f>
        <v>0</v>
      </c>
      <c r="K76" s="27">
        <f>Bilanca!J84</f>
        <v>0</v>
      </c>
    </row>
    <row r="77" spans="1:11" x14ac:dyDescent="0.2">
      <c r="D77" s="4" t="s">
        <v>554</v>
      </c>
      <c r="E77" s="4">
        <v>1</v>
      </c>
      <c r="F77" s="4">
        <f>Bilanca!G85</f>
        <v>76</v>
      </c>
      <c r="G77" s="4" t="str">
        <f>IF(Bilanca!H85=0,"",Bilanca!H85)</f>
        <v/>
      </c>
      <c r="H77" s="26">
        <f t="shared" si="2"/>
        <v>0</v>
      </c>
      <c r="I77" s="27">
        <f t="shared" si="3"/>
        <v>0</v>
      </c>
      <c r="J77" s="27">
        <f>Bilanca!I85</f>
        <v>0</v>
      </c>
      <c r="K77" s="27">
        <f>Bilanca!J85</f>
        <v>0</v>
      </c>
    </row>
    <row r="78" spans="1:11" x14ac:dyDescent="0.2">
      <c r="D78" s="4" t="s">
        <v>554</v>
      </c>
      <c r="E78" s="4">
        <v>1</v>
      </c>
      <c r="F78" s="4">
        <f>Bilanca!G86</f>
        <v>77</v>
      </c>
      <c r="G78" s="4" t="str">
        <f>IF(Bilanca!H86=0,"",Bilanca!H86)</f>
        <v/>
      </c>
      <c r="H78" s="26">
        <f t="shared" si="2"/>
        <v>0</v>
      </c>
      <c r="I78" s="27">
        <f t="shared" si="3"/>
        <v>0</v>
      </c>
      <c r="J78" s="27">
        <f>Bilanca!I86</f>
        <v>0</v>
      </c>
      <c r="K78" s="27">
        <f>Bilanca!J86</f>
        <v>0</v>
      </c>
    </row>
    <row r="79" spans="1:11" x14ac:dyDescent="0.2">
      <c r="D79" s="4" t="s">
        <v>554</v>
      </c>
      <c r="E79" s="4">
        <v>1</v>
      </c>
      <c r="F79" s="4">
        <f>Bilanca!G87</f>
        <v>78</v>
      </c>
      <c r="G79" s="4" t="str">
        <f>IF(Bilanca!H87=0,"",Bilanca!H87)</f>
        <v/>
      </c>
      <c r="H79" s="26">
        <f t="shared" si="2"/>
        <v>0</v>
      </c>
      <c r="I79" s="27">
        <f t="shared" si="3"/>
        <v>0</v>
      </c>
      <c r="J79" s="27">
        <f>Bilanca!I87</f>
        <v>0</v>
      </c>
      <c r="K79" s="27">
        <f>Bilanca!J87</f>
        <v>0</v>
      </c>
    </row>
    <row r="80" spans="1:11" x14ac:dyDescent="0.2">
      <c r="D80" s="4" t="s">
        <v>554</v>
      </c>
      <c r="E80" s="4">
        <v>1</v>
      </c>
      <c r="F80" s="4">
        <f>Bilanca!G88</f>
        <v>79</v>
      </c>
      <c r="G80" s="4" t="str">
        <f>IF(Bilanca!H88=0,"",Bilanca!H88)</f>
        <v/>
      </c>
      <c r="H80" s="26">
        <f t="shared" si="2"/>
        <v>0</v>
      </c>
      <c r="I80" s="27">
        <f t="shared" si="3"/>
        <v>0</v>
      </c>
      <c r="J80" s="27">
        <f>Bilanca!I88</f>
        <v>0</v>
      </c>
      <c r="K80" s="27">
        <f>Bilanca!J88</f>
        <v>0</v>
      </c>
    </row>
    <row r="81" spans="4:11" x14ac:dyDescent="0.2">
      <c r="D81" s="4" t="s">
        <v>554</v>
      </c>
      <c r="E81" s="4">
        <v>1</v>
      </c>
      <c r="F81" s="4">
        <f>Bilanca!G89</f>
        <v>80</v>
      </c>
      <c r="G81" s="4" t="str">
        <f>IF(Bilanca!H89=0,"",Bilanca!H89)</f>
        <v/>
      </c>
      <c r="H81" s="26">
        <f t="shared" si="2"/>
        <v>0</v>
      </c>
      <c r="I81" s="27">
        <f t="shared" si="3"/>
        <v>0</v>
      </c>
      <c r="J81" s="27">
        <f>Bilanca!I89</f>
        <v>0</v>
      </c>
      <c r="K81" s="27">
        <f>Bilanca!J89</f>
        <v>0</v>
      </c>
    </row>
    <row r="82" spans="4:11" x14ac:dyDescent="0.2">
      <c r="D82" s="4" t="s">
        <v>554</v>
      </c>
      <c r="E82" s="4">
        <v>1</v>
      </c>
      <c r="F82" s="4">
        <f>Bilanca!G90</f>
        <v>81</v>
      </c>
      <c r="G82" s="4" t="str">
        <f>IF(Bilanca!H90=0,"",Bilanca!H90)</f>
        <v/>
      </c>
      <c r="H82" s="26">
        <f>J82/100*F82+2*K82/100*F82</f>
        <v>0</v>
      </c>
      <c r="I82" s="27">
        <f>ABS(ROUND(J82,0)-J82)+ABS(ROUND(K82,0)-K82)</f>
        <v>0</v>
      </c>
      <c r="J82" s="27">
        <f>Bilanca!I90</f>
        <v>0</v>
      </c>
      <c r="K82" s="27">
        <f>Bilanca!J90</f>
        <v>0</v>
      </c>
    </row>
    <row r="83" spans="4:11" x14ac:dyDescent="0.2">
      <c r="D83" s="4" t="s">
        <v>554</v>
      </c>
      <c r="E83" s="4">
        <v>1</v>
      </c>
      <c r="F83" s="4">
        <f>Bilanca!G91</f>
        <v>82</v>
      </c>
      <c r="G83" s="4" t="str">
        <f>IF(Bilanca!H91=0,"",Bilanca!H91)</f>
        <v/>
      </c>
      <c r="H83" s="26">
        <f>J83/100*F83+2*K83/100*F83</f>
        <v>0</v>
      </c>
      <c r="I83" s="27">
        <f>ABS(ROUND(J83,0)-J83)+ABS(ROUND(K83,0)-K83)</f>
        <v>0</v>
      </c>
      <c r="J83" s="27">
        <f>Bilanca!I91</f>
        <v>0</v>
      </c>
      <c r="K83" s="27">
        <f>Bilanca!J91</f>
        <v>0</v>
      </c>
    </row>
    <row r="84" spans="4:11" x14ac:dyDescent="0.2">
      <c r="D84" s="4" t="s">
        <v>554</v>
      </c>
      <c r="E84" s="4">
        <v>1</v>
      </c>
      <c r="F84" s="4">
        <f>Bilanca!G92</f>
        <v>83</v>
      </c>
      <c r="G84" s="4" t="str">
        <f>IF(Bilanca!H92=0,"",Bilanca!H92)</f>
        <v/>
      </c>
      <c r="H84" s="26">
        <f t="shared" si="2"/>
        <v>9123594.0600000005</v>
      </c>
      <c r="I84" s="27">
        <f t="shared" si="3"/>
        <v>0</v>
      </c>
      <c r="J84" s="27">
        <f>Bilanca!I92</f>
        <v>2916404</v>
      </c>
      <c r="K84" s="27">
        <f>Bilanca!J92</f>
        <v>4037939</v>
      </c>
    </row>
    <row r="85" spans="4:11" x14ac:dyDescent="0.2">
      <c r="D85" s="4" t="s">
        <v>554</v>
      </c>
      <c r="E85" s="4">
        <v>1</v>
      </c>
      <c r="F85" s="4">
        <f>Bilanca!G93</f>
        <v>84</v>
      </c>
      <c r="G85" s="4" t="str">
        <f>IF(Bilanca!H93=0,"",Bilanca!H93)</f>
        <v/>
      </c>
      <c r="H85" s="26">
        <f t="shared" si="2"/>
        <v>9233516.879999999</v>
      </c>
      <c r="I85" s="27">
        <f t="shared" si="3"/>
        <v>0</v>
      </c>
      <c r="J85" s="27">
        <f>Bilanca!I93</f>
        <v>2916404</v>
      </c>
      <c r="K85" s="27">
        <f>Bilanca!J93</f>
        <v>4037939</v>
      </c>
    </row>
    <row r="86" spans="4:11" x14ac:dyDescent="0.2">
      <c r="D86" s="4" t="s">
        <v>554</v>
      </c>
      <c r="E86" s="4">
        <v>1</v>
      </c>
      <c r="F86" s="4">
        <f>Bilanca!G94</f>
        <v>85</v>
      </c>
      <c r="G86" s="4" t="str">
        <f>IF(Bilanca!H94=0,"",Bilanca!H94)</f>
        <v/>
      </c>
      <c r="H86" s="26">
        <f t="shared" si="2"/>
        <v>0</v>
      </c>
      <c r="I86" s="27">
        <f t="shared" si="3"/>
        <v>0</v>
      </c>
      <c r="J86" s="27">
        <f>Bilanca!I94</f>
        <v>0</v>
      </c>
      <c r="K86" s="27">
        <f>Bilanca!J94</f>
        <v>0</v>
      </c>
    </row>
    <row r="87" spans="4:11" x14ac:dyDescent="0.2">
      <c r="D87" s="4" t="s">
        <v>554</v>
      </c>
      <c r="E87" s="4">
        <v>1</v>
      </c>
      <c r="F87" s="4">
        <f>Bilanca!G95</f>
        <v>86</v>
      </c>
      <c r="G87" s="4" t="str">
        <f>IF(Bilanca!H95=0,"",Bilanca!H95)</f>
        <v/>
      </c>
      <c r="H87" s="26">
        <f>J87/100*F87+2*K87/100*F87</f>
        <v>1752393.62</v>
      </c>
      <c r="I87" s="27">
        <f>ABS(ROUND(J87,0)-J87)+ABS(ROUND(K87,0)-K87)</f>
        <v>0</v>
      </c>
      <c r="J87" s="27">
        <f>Bilanca!I95</f>
        <v>1121535</v>
      </c>
      <c r="K87" s="27">
        <f>Bilanca!J95</f>
        <v>458066</v>
      </c>
    </row>
    <row r="88" spans="4:11" x14ac:dyDescent="0.2">
      <c r="D88" s="4" t="s">
        <v>554</v>
      </c>
      <c r="E88" s="4">
        <v>1</v>
      </c>
      <c r="F88" s="4">
        <f>Bilanca!G96</f>
        <v>87</v>
      </c>
      <c r="G88" s="4" t="str">
        <f>IF(Bilanca!H96=0,"",Bilanca!H96)</f>
        <v/>
      </c>
      <c r="H88" s="26">
        <f>J88/100*F88+2*K88/100*F88</f>
        <v>1772770.29</v>
      </c>
      <c r="I88" s="27">
        <f>ABS(ROUND(J88,0)-J88)+ABS(ROUND(K88,0)-K88)</f>
        <v>0</v>
      </c>
      <c r="J88" s="27">
        <f>Bilanca!I96</f>
        <v>1121535</v>
      </c>
      <c r="K88" s="27">
        <f>Bilanca!J96</f>
        <v>458066</v>
      </c>
    </row>
    <row r="89" spans="4:11" x14ac:dyDescent="0.2">
      <c r="D89" s="4" t="s">
        <v>554</v>
      </c>
      <c r="E89" s="4">
        <v>1</v>
      </c>
      <c r="F89" s="4">
        <f>Bilanca!G97</f>
        <v>88</v>
      </c>
      <c r="G89" s="4" t="str">
        <f>IF(Bilanca!H97=0,"",Bilanca!H97)</f>
        <v/>
      </c>
      <c r="H89" s="26">
        <f t="shared" ref="H89:H129" si="4">J89/100*F89+2*K89/100*F89</f>
        <v>0</v>
      </c>
      <c r="I89" s="27">
        <f t="shared" ref="I89:I129" si="5">ABS(ROUND(J89,0)-J89)+ABS(ROUND(K89,0)-K89)</f>
        <v>0</v>
      </c>
      <c r="J89" s="27">
        <f>Bilanca!I97</f>
        <v>0</v>
      </c>
      <c r="K89" s="27">
        <f>Bilanca!J97</f>
        <v>0</v>
      </c>
    </row>
    <row r="90" spans="4:11" x14ac:dyDescent="0.2">
      <c r="D90" s="4" t="s">
        <v>554</v>
      </c>
      <c r="E90" s="4">
        <v>1</v>
      </c>
      <c r="F90" s="4">
        <f>Bilanca!G98</f>
        <v>89</v>
      </c>
      <c r="G90" s="4" t="str">
        <f>IF(Bilanca!H98=0,"",Bilanca!H98)</f>
        <v/>
      </c>
      <c r="H90" s="26">
        <f t="shared" si="4"/>
        <v>0</v>
      </c>
      <c r="I90" s="27">
        <f t="shared" si="5"/>
        <v>0</v>
      </c>
      <c r="J90" s="27">
        <f>Bilanca!I98</f>
        <v>0</v>
      </c>
      <c r="K90" s="27">
        <f>Bilanca!J98</f>
        <v>0</v>
      </c>
    </row>
    <row r="91" spans="4:11" x14ac:dyDescent="0.2">
      <c r="D91" s="4" t="s">
        <v>554</v>
      </c>
      <c r="E91" s="4">
        <v>1</v>
      </c>
      <c r="F91" s="4">
        <f>Bilanca!G99</f>
        <v>90</v>
      </c>
      <c r="G91" s="4" t="str">
        <f>IF(Bilanca!H99=0,"",Bilanca!H99)</f>
        <v/>
      </c>
      <c r="H91" s="26">
        <f t="shared" si="4"/>
        <v>2458395.9</v>
      </c>
      <c r="I91" s="27">
        <f t="shared" si="5"/>
        <v>0</v>
      </c>
      <c r="J91" s="27">
        <f>Bilanca!I99</f>
        <v>985737</v>
      </c>
      <c r="K91" s="27">
        <f>Bilanca!J99</f>
        <v>872907</v>
      </c>
    </row>
    <row r="92" spans="4:11" x14ac:dyDescent="0.2">
      <c r="D92" s="4" t="s">
        <v>554</v>
      </c>
      <c r="E92" s="4">
        <v>1</v>
      </c>
      <c r="F92" s="4">
        <f>Bilanca!G100</f>
        <v>91</v>
      </c>
      <c r="G92" s="4" t="str">
        <f>IF(Bilanca!H100=0,"",Bilanca!H100)</f>
        <v/>
      </c>
      <c r="H92" s="26">
        <f t="shared" si="4"/>
        <v>2485711.41</v>
      </c>
      <c r="I92" s="27">
        <f t="shared" si="5"/>
        <v>0</v>
      </c>
      <c r="J92" s="27">
        <f>Bilanca!I100</f>
        <v>985737</v>
      </c>
      <c r="K92" s="27">
        <f>Bilanca!J100</f>
        <v>872907</v>
      </c>
    </row>
    <row r="93" spans="4:11" x14ac:dyDescent="0.2">
      <c r="D93" s="4" t="s">
        <v>554</v>
      </c>
      <c r="E93" s="4">
        <v>1</v>
      </c>
      <c r="F93" s="4">
        <f>Bilanca!G101</f>
        <v>92</v>
      </c>
      <c r="G93" s="4" t="str">
        <f>IF(Bilanca!H101=0,"",Bilanca!H101)</f>
        <v/>
      </c>
      <c r="H93" s="26">
        <f t="shared" si="4"/>
        <v>0</v>
      </c>
      <c r="I93" s="27">
        <f t="shared" si="5"/>
        <v>0</v>
      </c>
      <c r="J93" s="27">
        <f>Bilanca!I101</f>
        <v>0</v>
      </c>
      <c r="K93" s="27">
        <f>Bilanca!J101</f>
        <v>0</v>
      </c>
    </row>
    <row r="94" spans="4:11" x14ac:dyDescent="0.2">
      <c r="D94" s="4" t="s">
        <v>554</v>
      </c>
      <c r="E94" s="4">
        <v>1</v>
      </c>
      <c r="F94" s="4">
        <f>Bilanca!G102</f>
        <v>93</v>
      </c>
      <c r="G94" s="4" t="str">
        <f>IF(Bilanca!H102=0,"",Bilanca!H102)</f>
        <v/>
      </c>
      <c r="H94" s="26">
        <f t="shared" si="4"/>
        <v>0</v>
      </c>
      <c r="I94" s="27">
        <f t="shared" si="5"/>
        <v>0</v>
      </c>
      <c r="J94" s="27">
        <f>Bilanca!I102</f>
        <v>0</v>
      </c>
      <c r="K94" s="27">
        <f>Bilanca!J102</f>
        <v>0</v>
      </c>
    </row>
    <row r="95" spans="4:11" x14ac:dyDescent="0.2">
      <c r="D95" s="4" t="s">
        <v>554</v>
      </c>
      <c r="E95" s="4">
        <v>1</v>
      </c>
      <c r="F95" s="4">
        <f>Bilanca!G103</f>
        <v>94</v>
      </c>
      <c r="G95" s="4" t="str">
        <f>IF(Bilanca!H103=0,"",Bilanca!H103)</f>
        <v/>
      </c>
      <c r="H95" s="26">
        <f t="shared" si="4"/>
        <v>0</v>
      </c>
      <c r="I95" s="27">
        <f t="shared" si="5"/>
        <v>0</v>
      </c>
      <c r="J95" s="27">
        <f>Bilanca!I103</f>
        <v>0</v>
      </c>
      <c r="K95" s="27">
        <f>Bilanca!J103</f>
        <v>0</v>
      </c>
    </row>
    <row r="96" spans="4:11" x14ac:dyDescent="0.2">
      <c r="D96" s="4" t="s">
        <v>554</v>
      </c>
      <c r="E96" s="4">
        <v>1</v>
      </c>
      <c r="F96" s="4">
        <f>Bilanca!G104</f>
        <v>95</v>
      </c>
      <c r="G96" s="4" t="str">
        <f>IF(Bilanca!H104=0,"",Bilanca!H104)</f>
        <v/>
      </c>
      <c r="H96" s="26">
        <f t="shared" si="4"/>
        <v>0</v>
      </c>
      <c r="I96" s="27">
        <f t="shared" si="5"/>
        <v>0</v>
      </c>
      <c r="J96" s="27">
        <f>Bilanca!I104</f>
        <v>0</v>
      </c>
      <c r="K96" s="27">
        <f>Bilanca!J104</f>
        <v>0</v>
      </c>
    </row>
    <row r="97" spans="4:11" x14ac:dyDescent="0.2">
      <c r="D97" s="4" t="s">
        <v>554</v>
      </c>
      <c r="E97" s="4">
        <v>1</v>
      </c>
      <c r="F97" s="4">
        <f>Bilanca!G105</f>
        <v>96</v>
      </c>
      <c r="G97" s="4" t="str">
        <f>IF(Bilanca!H105=0,"",Bilanca!H105)</f>
        <v/>
      </c>
      <c r="H97" s="26">
        <f t="shared" si="4"/>
        <v>0</v>
      </c>
      <c r="I97" s="27">
        <f t="shared" si="5"/>
        <v>0</v>
      </c>
      <c r="J97" s="27">
        <f>Bilanca!I105</f>
        <v>0</v>
      </c>
      <c r="K97" s="27">
        <f>Bilanca!J105</f>
        <v>0</v>
      </c>
    </row>
    <row r="98" spans="4:11" x14ac:dyDescent="0.2">
      <c r="D98" s="4" t="s">
        <v>554</v>
      </c>
      <c r="E98" s="4">
        <v>1</v>
      </c>
      <c r="F98" s="4">
        <f>Bilanca!G106</f>
        <v>97</v>
      </c>
      <c r="G98" s="4" t="str">
        <f>IF(Bilanca!H106=0,"",Bilanca!H106)</f>
        <v/>
      </c>
      <c r="H98" s="26">
        <f t="shared" si="4"/>
        <v>0</v>
      </c>
      <c r="I98" s="27">
        <f t="shared" si="5"/>
        <v>0</v>
      </c>
      <c r="J98" s="27">
        <f>Bilanca!I106</f>
        <v>0</v>
      </c>
      <c r="K98" s="27">
        <f>Bilanca!J106</f>
        <v>0</v>
      </c>
    </row>
    <row r="99" spans="4:11" x14ac:dyDescent="0.2">
      <c r="D99" s="4" t="s">
        <v>554</v>
      </c>
      <c r="E99" s="4">
        <v>1</v>
      </c>
      <c r="F99" s="4">
        <f>Bilanca!G107</f>
        <v>98</v>
      </c>
      <c r="G99" s="4" t="str">
        <f>IF(Bilanca!H107=0,"",Bilanca!H107)</f>
        <v/>
      </c>
      <c r="H99" s="26">
        <f t="shared" si="4"/>
        <v>0</v>
      </c>
      <c r="I99" s="27">
        <f t="shared" si="5"/>
        <v>0</v>
      </c>
      <c r="J99" s="27">
        <f>Bilanca!I107</f>
        <v>0</v>
      </c>
      <c r="K99" s="27">
        <f>Bilanca!J107</f>
        <v>0</v>
      </c>
    </row>
    <row r="100" spans="4:11" x14ac:dyDescent="0.2">
      <c r="D100" s="4" t="s">
        <v>554</v>
      </c>
      <c r="E100" s="4">
        <v>1</v>
      </c>
      <c r="F100" s="4">
        <f>Bilanca!G108</f>
        <v>99</v>
      </c>
      <c r="G100" s="4" t="str">
        <f>IF(Bilanca!H108=0,"",Bilanca!H108)</f>
        <v/>
      </c>
      <c r="H100" s="26">
        <f t="shared" si="4"/>
        <v>0</v>
      </c>
      <c r="I100" s="27">
        <f t="shared" si="5"/>
        <v>0</v>
      </c>
      <c r="J100" s="27">
        <f>Bilanca!I108</f>
        <v>0</v>
      </c>
      <c r="K100" s="27">
        <f>Bilanca!J108</f>
        <v>0</v>
      </c>
    </row>
    <row r="101" spans="4:11" x14ac:dyDescent="0.2">
      <c r="D101" s="4" t="s">
        <v>554</v>
      </c>
      <c r="E101" s="4">
        <v>1</v>
      </c>
      <c r="F101" s="4">
        <f>Bilanca!G109</f>
        <v>100</v>
      </c>
      <c r="G101" s="4" t="str">
        <f>IF(Bilanca!H109=0,"",Bilanca!H109)</f>
        <v/>
      </c>
      <c r="H101" s="26">
        <f t="shared" si="4"/>
        <v>0</v>
      </c>
      <c r="I101" s="27">
        <f t="shared" si="5"/>
        <v>0</v>
      </c>
      <c r="J101" s="27">
        <f>Bilanca!I109</f>
        <v>0</v>
      </c>
      <c r="K101" s="27">
        <f>Bilanca!J109</f>
        <v>0</v>
      </c>
    </row>
    <row r="102" spans="4:11" x14ac:dyDescent="0.2">
      <c r="D102" s="4" t="s">
        <v>554</v>
      </c>
      <c r="E102" s="4">
        <v>1</v>
      </c>
      <c r="F102" s="4">
        <f>Bilanca!G110</f>
        <v>101</v>
      </c>
      <c r="G102" s="4" t="str">
        <f>IF(Bilanca!H110=0,"",Bilanca!H110)</f>
        <v/>
      </c>
      <c r="H102" s="26">
        <f t="shared" si="4"/>
        <v>0</v>
      </c>
      <c r="I102" s="27">
        <f t="shared" si="5"/>
        <v>0</v>
      </c>
      <c r="J102" s="27">
        <f>Bilanca!I110</f>
        <v>0</v>
      </c>
      <c r="K102" s="27">
        <f>Bilanca!J110</f>
        <v>0</v>
      </c>
    </row>
    <row r="103" spans="4:11" x14ac:dyDescent="0.2">
      <c r="D103" s="4" t="s">
        <v>554</v>
      </c>
      <c r="E103" s="4">
        <v>1</v>
      </c>
      <c r="F103" s="4">
        <f>Bilanca!G111</f>
        <v>102</v>
      </c>
      <c r="G103" s="4" t="str">
        <f>IF(Bilanca!H111=0,"",Bilanca!H111)</f>
        <v/>
      </c>
      <c r="H103" s="26">
        <f t="shared" si="4"/>
        <v>0</v>
      </c>
      <c r="I103" s="27">
        <f t="shared" si="5"/>
        <v>0</v>
      </c>
      <c r="J103" s="27">
        <f>Bilanca!I111</f>
        <v>0</v>
      </c>
      <c r="K103" s="27">
        <f>Bilanca!J111</f>
        <v>0</v>
      </c>
    </row>
    <row r="104" spans="4:11" x14ac:dyDescent="0.2">
      <c r="D104" s="4" t="s">
        <v>554</v>
      </c>
      <c r="E104" s="4">
        <v>1</v>
      </c>
      <c r="F104" s="4">
        <f>Bilanca!G112</f>
        <v>103</v>
      </c>
      <c r="G104" s="4" t="str">
        <f>IF(Bilanca!H112=0,"",Bilanca!H112)</f>
        <v/>
      </c>
      <c r="H104" s="26">
        <f t="shared" si="4"/>
        <v>0</v>
      </c>
      <c r="I104" s="27">
        <f t="shared" si="5"/>
        <v>0</v>
      </c>
      <c r="J104" s="27">
        <f>Bilanca!I112</f>
        <v>0</v>
      </c>
      <c r="K104" s="27">
        <f>Bilanca!J112</f>
        <v>0</v>
      </c>
    </row>
    <row r="105" spans="4:11" x14ac:dyDescent="0.2">
      <c r="D105" s="4" t="s">
        <v>554</v>
      </c>
      <c r="E105" s="4">
        <v>1</v>
      </c>
      <c r="F105" s="4">
        <f>Bilanca!G113</f>
        <v>104</v>
      </c>
      <c r="G105" s="4" t="str">
        <f>IF(Bilanca!H113=0,"",Bilanca!H113)</f>
        <v/>
      </c>
      <c r="H105" s="26">
        <f t="shared" si="4"/>
        <v>0</v>
      </c>
      <c r="I105" s="27">
        <f t="shared" si="5"/>
        <v>0</v>
      </c>
      <c r="J105" s="27">
        <f>Bilanca!I113</f>
        <v>0</v>
      </c>
      <c r="K105" s="27">
        <f>Bilanca!J113</f>
        <v>0</v>
      </c>
    </row>
    <row r="106" spans="4:11" x14ac:dyDescent="0.2">
      <c r="D106" s="4" t="s">
        <v>554</v>
      </c>
      <c r="E106" s="4">
        <v>1</v>
      </c>
      <c r="F106" s="4">
        <f>Bilanca!G114</f>
        <v>105</v>
      </c>
      <c r="G106" s="4" t="str">
        <f>IF(Bilanca!H114=0,"",Bilanca!H114)</f>
        <v/>
      </c>
      <c r="H106" s="26">
        <f t="shared" si="4"/>
        <v>0</v>
      </c>
      <c r="I106" s="27">
        <f t="shared" si="5"/>
        <v>0</v>
      </c>
      <c r="J106" s="27">
        <f>Bilanca!I114</f>
        <v>0</v>
      </c>
      <c r="K106" s="27">
        <f>Bilanca!J114</f>
        <v>0</v>
      </c>
    </row>
    <row r="107" spans="4:11" x14ac:dyDescent="0.2">
      <c r="D107" s="4" t="s">
        <v>554</v>
      </c>
      <c r="E107" s="4">
        <v>1</v>
      </c>
      <c r="F107" s="4">
        <f>Bilanca!G115</f>
        <v>106</v>
      </c>
      <c r="G107" s="4" t="str">
        <f>IF(Bilanca!H115=0,"",Bilanca!H115)</f>
        <v/>
      </c>
      <c r="H107" s="26">
        <f t="shared" si="4"/>
        <v>0</v>
      </c>
      <c r="I107" s="27">
        <f t="shared" si="5"/>
        <v>0</v>
      </c>
      <c r="J107" s="27">
        <f>Bilanca!I115</f>
        <v>0</v>
      </c>
      <c r="K107" s="27">
        <f>Bilanca!J115</f>
        <v>0</v>
      </c>
    </row>
    <row r="108" spans="4:11" x14ac:dyDescent="0.2">
      <c r="D108" s="4" t="s">
        <v>554</v>
      </c>
      <c r="E108" s="4">
        <v>1</v>
      </c>
      <c r="F108" s="4">
        <f>Bilanca!G116</f>
        <v>107</v>
      </c>
      <c r="G108" s="4" t="str">
        <f>IF(Bilanca!H116=0,"",Bilanca!H116)</f>
        <v/>
      </c>
      <c r="H108" s="26">
        <f t="shared" si="4"/>
        <v>0</v>
      </c>
      <c r="I108" s="27">
        <f t="shared" si="5"/>
        <v>0</v>
      </c>
      <c r="J108" s="27">
        <f>Bilanca!I116</f>
        <v>0</v>
      </c>
      <c r="K108" s="27">
        <f>Bilanca!J116</f>
        <v>0</v>
      </c>
    </row>
    <row r="109" spans="4:11" x14ac:dyDescent="0.2">
      <c r="D109" s="4" t="s">
        <v>554</v>
      </c>
      <c r="E109" s="4">
        <v>1</v>
      </c>
      <c r="F109" s="4">
        <f>Bilanca!G117</f>
        <v>108</v>
      </c>
      <c r="G109" s="4" t="str">
        <f>IF(Bilanca!H117=0,"",Bilanca!H117)</f>
        <v/>
      </c>
      <c r="H109" s="26">
        <f t="shared" si="4"/>
        <v>0</v>
      </c>
      <c r="I109" s="27">
        <f t="shared" si="5"/>
        <v>0</v>
      </c>
      <c r="J109" s="27">
        <f>Bilanca!I117</f>
        <v>0</v>
      </c>
      <c r="K109" s="27">
        <f>Bilanca!J117</f>
        <v>0</v>
      </c>
    </row>
    <row r="110" spans="4:11" x14ac:dyDescent="0.2">
      <c r="D110" s="4" t="s">
        <v>554</v>
      </c>
      <c r="E110" s="4">
        <v>1</v>
      </c>
      <c r="F110" s="4">
        <f>Bilanca!G118</f>
        <v>109</v>
      </c>
      <c r="G110" s="4" t="str">
        <f>IF(Bilanca!H118=0,"",Bilanca!H118)</f>
        <v/>
      </c>
      <c r="H110" s="26">
        <f t="shared" si="4"/>
        <v>4924089.17</v>
      </c>
      <c r="I110" s="27">
        <f t="shared" si="5"/>
        <v>0</v>
      </c>
      <c r="J110" s="27">
        <f>Bilanca!I118</f>
        <v>1531663</v>
      </c>
      <c r="K110" s="27">
        <f>Bilanca!J118</f>
        <v>1492925</v>
      </c>
    </row>
    <row r="111" spans="4:11" x14ac:dyDescent="0.2">
      <c r="D111" s="4" t="s">
        <v>554</v>
      </c>
      <c r="E111" s="4">
        <v>1</v>
      </c>
      <c r="F111" s="4">
        <f>Bilanca!G119</f>
        <v>110</v>
      </c>
      <c r="G111" s="4" t="str">
        <f>IF(Bilanca!H119=0,"",Bilanca!H119)</f>
        <v/>
      </c>
      <c r="H111" s="26">
        <f t="shared" si="4"/>
        <v>0</v>
      </c>
      <c r="I111" s="27">
        <f t="shared" si="5"/>
        <v>0</v>
      </c>
      <c r="J111" s="27">
        <f>Bilanca!I119</f>
        <v>0</v>
      </c>
      <c r="K111" s="27">
        <f>Bilanca!J119</f>
        <v>0</v>
      </c>
    </row>
    <row r="112" spans="4:11" x14ac:dyDescent="0.2">
      <c r="D112" s="4" t="s">
        <v>554</v>
      </c>
      <c r="E112" s="4">
        <v>1</v>
      </c>
      <c r="F112" s="4">
        <f>Bilanca!G120</f>
        <v>111</v>
      </c>
      <c r="G112" s="4" t="str">
        <f>IF(Bilanca!H120=0,"",Bilanca!H120)</f>
        <v/>
      </c>
      <c r="H112" s="26">
        <f t="shared" si="4"/>
        <v>0</v>
      </c>
      <c r="I112" s="27">
        <f t="shared" si="5"/>
        <v>0</v>
      </c>
      <c r="J112" s="27">
        <f>Bilanca!I120</f>
        <v>0</v>
      </c>
      <c r="K112" s="27">
        <f>Bilanca!J120</f>
        <v>0</v>
      </c>
    </row>
    <row r="113" spans="4:11" x14ac:dyDescent="0.2">
      <c r="D113" s="4" t="s">
        <v>554</v>
      </c>
      <c r="E113" s="4">
        <v>1</v>
      </c>
      <c r="F113" s="4">
        <f>Bilanca!G121</f>
        <v>112</v>
      </c>
      <c r="G113" s="4" t="str">
        <f>IF(Bilanca!H121=0,"",Bilanca!H121)</f>
        <v/>
      </c>
      <c r="H113" s="26">
        <f t="shared" si="4"/>
        <v>0</v>
      </c>
      <c r="I113" s="27">
        <f t="shared" si="5"/>
        <v>0</v>
      </c>
      <c r="J113" s="27">
        <f>Bilanca!I121</f>
        <v>0</v>
      </c>
      <c r="K113" s="27">
        <f>Bilanca!J121</f>
        <v>0</v>
      </c>
    </row>
    <row r="114" spans="4:11" x14ac:dyDescent="0.2">
      <c r="D114" s="4" t="s">
        <v>554</v>
      </c>
      <c r="E114" s="4">
        <v>1</v>
      </c>
      <c r="F114" s="4">
        <f>Bilanca!G122</f>
        <v>113</v>
      </c>
      <c r="G114" s="4" t="str">
        <f>IF(Bilanca!H122=0,"",Bilanca!H122)</f>
        <v/>
      </c>
      <c r="H114" s="26">
        <f t="shared" si="4"/>
        <v>0</v>
      </c>
      <c r="I114" s="27">
        <f t="shared" si="5"/>
        <v>0</v>
      </c>
      <c r="J114" s="27">
        <f>Bilanca!I122</f>
        <v>0</v>
      </c>
      <c r="K114" s="27">
        <f>Bilanca!J122</f>
        <v>0</v>
      </c>
    </row>
    <row r="115" spans="4:11" x14ac:dyDescent="0.2">
      <c r="D115" s="4" t="s">
        <v>554</v>
      </c>
      <c r="E115" s="4">
        <v>1</v>
      </c>
      <c r="F115" s="4">
        <f>Bilanca!G123</f>
        <v>114</v>
      </c>
      <c r="G115" s="4" t="str">
        <f>IF(Bilanca!H123=0,"",Bilanca!H123)</f>
        <v/>
      </c>
      <c r="H115" s="26">
        <f t="shared" si="4"/>
        <v>0</v>
      </c>
      <c r="I115" s="27">
        <f t="shared" si="5"/>
        <v>0</v>
      </c>
      <c r="J115" s="27">
        <f>Bilanca!I123</f>
        <v>0</v>
      </c>
      <c r="K115" s="27">
        <f>Bilanca!J123</f>
        <v>0</v>
      </c>
    </row>
    <row r="116" spans="4:11" x14ac:dyDescent="0.2">
      <c r="D116" s="4" t="s">
        <v>554</v>
      </c>
      <c r="E116" s="4">
        <v>1</v>
      </c>
      <c r="F116" s="4">
        <f>Bilanca!G124</f>
        <v>115</v>
      </c>
      <c r="G116" s="4" t="str">
        <f>IF(Bilanca!H124=0,"",Bilanca!H124)</f>
        <v/>
      </c>
      <c r="H116" s="26">
        <f t="shared" si="4"/>
        <v>0</v>
      </c>
      <c r="I116" s="27">
        <f t="shared" si="5"/>
        <v>0</v>
      </c>
      <c r="J116" s="27">
        <f>Bilanca!I124</f>
        <v>0</v>
      </c>
      <c r="K116" s="27">
        <f>Bilanca!J124</f>
        <v>0</v>
      </c>
    </row>
    <row r="117" spans="4:11" x14ac:dyDescent="0.2">
      <c r="D117" s="4" t="s">
        <v>554</v>
      </c>
      <c r="E117" s="4">
        <v>1</v>
      </c>
      <c r="F117" s="4">
        <f>Bilanca!G125</f>
        <v>116</v>
      </c>
      <c r="G117" s="4" t="str">
        <f>IF(Bilanca!H125=0,"",Bilanca!H125)</f>
        <v/>
      </c>
      <c r="H117" s="26">
        <f t="shared" si="4"/>
        <v>0</v>
      </c>
      <c r="I117" s="27">
        <f t="shared" si="5"/>
        <v>0</v>
      </c>
      <c r="J117" s="27">
        <f>Bilanca!I125</f>
        <v>0</v>
      </c>
      <c r="K117" s="27">
        <f>Bilanca!J125</f>
        <v>0</v>
      </c>
    </row>
    <row r="118" spans="4:11" x14ac:dyDescent="0.2">
      <c r="D118" s="4" t="s">
        <v>554</v>
      </c>
      <c r="E118" s="4">
        <v>1</v>
      </c>
      <c r="F118" s="4">
        <f>Bilanca!G126</f>
        <v>117</v>
      </c>
      <c r="G118" s="4" t="str">
        <f>IF(Bilanca!H126=0,"",Bilanca!H126)</f>
        <v/>
      </c>
      <c r="H118" s="26">
        <f t="shared" si="4"/>
        <v>1081352.6100000001</v>
      </c>
      <c r="I118" s="27">
        <f t="shared" si="5"/>
        <v>0</v>
      </c>
      <c r="J118" s="27">
        <f>Bilanca!I126</f>
        <v>271429</v>
      </c>
      <c r="K118" s="27">
        <f>Bilanca!J126</f>
        <v>326402</v>
      </c>
    </row>
    <row r="119" spans="4:11" x14ac:dyDescent="0.2">
      <c r="D119" s="4" t="s">
        <v>554</v>
      </c>
      <c r="E119" s="4">
        <v>1</v>
      </c>
      <c r="F119" s="4">
        <f>Bilanca!G127</f>
        <v>118</v>
      </c>
      <c r="G119" s="4" t="str">
        <f>IF(Bilanca!H127=0,"",Bilanca!H127)</f>
        <v/>
      </c>
      <c r="H119" s="26">
        <f t="shared" si="4"/>
        <v>0</v>
      </c>
      <c r="I119" s="27">
        <f t="shared" si="5"/>
        <v>0</v>
      </c>
      <c r="J119" s="27">
        <f>Bilanca!I127</f>
        <v>0</v>
      </c>
      <c r="K119" s="27">
        <f>Bilanca!J127</f>
        <v>0</v>
      </c>
    </row>
    <row r="120" spans="4:11" x14ac:dyDescent="0.2">
      <c r="D120" s="4" t="s">
        <v>554</v>
      </c>
      <c r="E120" s="4">
        <v>1</v>
      </c>
      <c r="F120" s="4">
        <f>Bilanca!G128</f>
        <v>119</v>
      </c>
      <c r="G120" s="4" t="str">
        <f>IF(Bilanca!H128=0,"",Bilanca!H128)</f>
        <v/>
      </c>
      <c r="H120" s="26">
        <f t="shared" si="4"/>
        <v>2137520.84</v>
      </c>
      <c r="I120" s="27">
        <f t="shared" si="5"/>
        <v>0</v>
      </c>
      <c r="J120" s="27">
        <f>Bilanca!I128</f>
        <v>593074</v>
      </c>
      <c r="K120" s="27">
        <f>Bilanca!J128</f>
        <v>601581</v>
      </c>
    </row>
    <row r="121" spans="4:11" x14ac:dyDescent="0.2">
      <c r="D121" s="4" t="s">
        <v>554</v>
      </c>
      <c r="E121" s="4">
        <v>1</v>
      </c>
      <c r="F121" s="4">
        <f>Bilanca!G129</f>
        <v>120</v>
      </c>
      <c r="G121" s="4" t="str">
        <f>IF(Bilanca!H129=0,"",Bilanca!H129)</f>
        <v/>
      </c>
      <c r="H121" s="26">
        <f t="shared" si="4"/>
        <v>2095383.5999999999</v>
      </c>
      <c r="I121" s="27">
        <f t="shared" si="5"/>
        <v>0</v>
      </c>
      <c r="J121" s="27">
        <f>Bilanca!I129</f>
        <v>636065</v>
      </c>
      <c r="K121" s="27">
        <f>Bilanca!J129</f>
        <v>555044</v>
      </c>
    </row>
    <row r="122" spans="4:11" x14ac:dyDescent="0.2">
      <c r="D122" s="4" t="s">
        <v>554</v>
      </c>
      <c r="E122" s="4">
        <v>1</v>
      </c>
      <c r="F122" s="4">
        <f>Bilanca!G130</f>
        <v>121</v>
      </c>
      <c r="G122" s="4" t="str">
        <f>IF(Bilanca!H130=0,"",Bilanca!H130)</f>
        <v/>
      </c>
      <c r="H122" s="26">
        <f t="shared" si="4"/>
        <v>0</v>
      </c>
      <c r="I122" s="27">
        <f t="shared" si="5"/>
        <v>0</v>
      </c>
      <c r="J122" s="27">
        <f>Bilanca!I130</f>
        <v>0</v>
      </c>
      <c r="K122" s="27">
        <f>Bilanca!J130</f>
        <v>0</v>
      </c>
    </row>
    <row r="123" spans="4:11" x14ac:dyDescent="0.2">
      <c r="D123" s="4" t="s">
        <v>554</v>
      </c>
      <c r="E123" s="4">
        <v>1</v>
      </c>
      <c r="F123" s="4">
        <f>Bilanca!G131</f>
        <v>122</v>
      </c>
      <c r="G123" s="4" t="str">
        <f>IF(Bilanca!H131=0,"",Bilanca!H131)</f>
        <v/>
      </c>
      <c r="H123" s="26">
        <f t="shared" si="4"/>
        <v>0</v>
      </c>
      <c r="I123" s="27">
        <f t="shared" si="5"/>
        <v>0</v>
      </c>
      <c r="J123" s="27">
        <f>Bilanca!I131</f>
        <v>0</v>
      </c>
      <c r="K123" s="27">
        <f>Bilanca!J131</f>
        <v>0</v>
      </c>
    </row>
    <row r="124" spans="4:11" x14ac:dyDescent="0.2">
      <c r="D124" s="4" t="s">
        <v>554</v>
      </c>
      <c r="E124" s="4">
        <v>1</v>
      </c>
      <c r="F124" s="4">
        <f>Bilanca!G132</f>
        <v>123</v>
      </c>
      <c r="G124" s="4" t="str">
        <f>IF(Bilanca!H132=0,"",Bilanca!H132)</f>
        <v/>
      </c>
      <c r="H124" s="26">
        <f t="shared" si="4"/>
        <v>62595.93</v>
      </c>
      <c r="I124" s="27">
        <f t="shared" si="5"/>
        <v>0</v>
      </c>
      <c r="J124" s="27">
        <f>Bilanca!I132</f>
        <v>31095</v>
      </c>
      <c r="K124" s="27">
        <f>Bilanca!J132</f>
        <v>9898</v>
      </c>
    </row>
    <row r="125" spans="4:11" x14ac:dyDescent="0.2">
      <c r="D125" s="4" t="s">
        <v>554</v>
      </c>
      <c r="E125" s="4">
        <v>1</v>
      </c>
      <c r="F125" s="4">
        <f>Bilanca!G133</f>
        <v>124</v>
      </c>
      <c r="G125" s="4" t="str">
        <f>IF(Bilanca!H133=0,"",Bilanca!H133)</f>
        <v/>
      </c>
      <c r="H125" s="26">
        <f t="shared" si="4"/>
        <v>159013.88</v>
      </c>
      <c r="I125" s="27">
        <f t="shared" si="5"/>
        <v>0</v>
      </c>
      <c r="J125" s="27">
        <f>Bilanca!I133</f>
        <v>10817</v>
      </c>
      <c r="K125" s="27">
        <f>Bilanca!J133</f>
        <v>58710</v>
      </c>
    </row>
    <row r="126" spans="4:11" x14ac:dyDescent="0.2">
      <c r="D126" s="4" t="s">
        <v>554</v>
      </c>
      <c r="E126" s="4">
        <v>1</v>
      </c>
      <c r="F126" s="4">
        <f>Bilanca!G134</f>
        <v>125</v>
      </c>
      <c r="G126" s="4" t="str">
        <f>IF(Bilanca!H134=0,"",Bilanca!H134)</f>
        <v/>
      </c>
      <c r="H126" s="26">
        <f t="shared" si="4"/>
        <v>25621562.5</v>
      </c>
      <c r="I126" s="27">
        <f t="shared" si="5"/>
        <v>0</v>
      </c>
      <c r="J126" s="27">
        <f>Bilanca!I134</f>
        <v>6596156</v>
      </c>
      <c r="K126" s="27">
        <f>Bilanca!J134</f>
        <v>6950547</v>
      </c>
    </row>
    <row r="127" spans="4:11" x14ac:dyDescent="0.2">
      <c r="D127" s="4" t="s">
        <v>554</v>
      </c>
      <c r="E127" s="4">
        <v>1</v>
      </c>
      <c r="F127" s="4">
        <f>Bilanca!G135</f>
        <v>126</v>
      </c>
      <c r="G127" s="4" t="str">
        <f>IF(Bilanca!H135=0,"",Bilanca!H135)</f>
        <v/>
      </c>
      <c r="H127" s="26">
        <f t="shared" si="4"/>
        <v>0</v>
      </c>
      <c r="I127" s="27">
        <f t="shared" si="5"/>
        <v>0</v>
      </c>
      <c r="J127" s="27">
        <f>Bilanca!I135</f>
        <v>0</v>
      </c>
      <c r="K127" s="27">
        <f>Bilanca!J135</f>
        <v>0</v>
      </c>
    </row>
    <row r="128" spans="4:11" x14ac:dyDescent="0.2">
      <c r="D128" s="4" t="s">
        <v>794</v>
      </c>
      <c r="E128" s="4">
        <v>2</v>
      </c>
      <c r="F128" s="4">
        <f>RDG!G8</f>
        <v>127</v>
      </c>
      <c r="G128" s="4" t="str">
        <f>IF(RDG!H8=0,"",RDG!H8)</f>
        <v/>
      </c>
      <c r="H128" s="26">
        <f t="shared" si="4"/>
        <v>58433321.030000001</v>
      </c>
      <c r="I128" s="4">
        <f t="shared" si="5"/>
        <v>0</v>
      </c>
      <c r="J128" s="27">
        <f>RDG!I8</f>
        <v>17566831</v>
      </c>
      <c r="K128" s="27">
        <f>RDG!J8</f>
        <v>14221829</v>
      </c>
    </row>
    <row r="129" spans="4:11" x14ac:dyDescent="0.2">
      <c r="D129" s="4" t="s">
        <v>794</v>
      </c>
      <c r="E129" s="4">
        <v>2</v>
      </c>
      <c r="F129" s="4">
        <f>RDG!G9</f>
        <v>128</v>
      </c>
      <c r="G129" s="4" t="str">
        <f>IF(RDG!H9=0,"",RDG!H9)</f>
        <v/>
      </c>
      <c r="H129" s="26">
        <f t="shared" si="4"/>
        <v>0</v>
      </c>
      <c r="I129" s="4">
        <f t="shared" si="5"/>
        <v>0</v>
      </c>
      <c r="J129" s="27">
        <f>RDG!I9</f>
        <v>0</v>
      </c>
      <c r="K129" s="27">
        <f>RDG!J9</f>
        <v>0</v>
      </c>
    </row>
    <row r="130" spans="4:11" x14ac:dyDescent="0.2">
      <c r="D130" s="4" t="s">
        <v>794</v>
      </c>
      <c r="E130" s="4">
        <v>2</v>
      </c>
      <c r="F130" s="4">
        <f>RDG!G10</f>
        <v>129</v>
      </c>
      <c r="G130" s="4" t="str">
        <f>IF(RDG!H10=0,"",RDG!H10)</f>
        <v/>
      </c>
      <c r="H130" s="26">
        <f t="shared" ref="H130:H192" si="6">J130/100*F130+2*K130/100*F130</f>
        <v>56493550.5</v>
      </c>
      <c r="I130" s="4">
        <f t="shared" ref="I130:I192" si="7">ABS(ROUND(J130,0)-J130)+ABS(ROUND(K130,0)-K130)</f>
        <v>0</v>
      </c>
      <c r="J130" s="27">
        <f>RDG!I10</f>
        <v>16560268</v>
      </c>
      <c r="K130" s="27">
        <f>RDG!J10</f>
        <v>13616591</v>
      </c>
    </row>
    <row r="131" spans="4:11" x14ac:dyDescent="0.2">
      <c r="D131" s="4" t="s">
        <v>794</v>
      </c>
      <c r="E131" s="4">
        <v>2</v>
      </c>
      <c r="F131" s="4">
        <f>RDG!G11</f>
        <v>130</v>
      </c>
      <c r="G131" s="4" t="str">
        <f>IF(RDG!H11=0,"",RDG!H11)</f>
        <v/>
      </c>
      <c r="H131" s="26">
        <f t="shared" si="6"/>
        <v>0</v>
      </c>
      <c r="I131" s="4">
        <f t="shared" si="7"/>
        <v>0</v>
      </c>
      <c r="J131" s="27">
        <f>RDG!I11</f>
        <v>0</v>
      </c>
      <c r="K131" s="27">
        <f>RDG!J11</f>
        <v>0</v>
      </c>
    </row>
    <row r="132" spans="4:11" x14ac:dyDescent="0.2">
      <c r="D132" s="4" t="s">
        <v>794</v>
      </c>
      <c r="E132" s="4">
        <v>2</v>
      </c>
      <c r="F132" s="4">
        <f>RDG!G12</f>
        <v>131</v>
      </c>
      <c r="G132" s="4" t="str">
        <f>IF(RDG!H12=0,"",RDG!H12)</f>
        <v/>
      </c>
      <c r="H132" s="26">
        <f t="shared" si="6"/>
        <v>0</v>
      </c>
      <c r="I132" s="4">
        <f t="shared" si="7"/>
        <v>0</v>
      </c>
      <c r="J132" s="27">
        <f>RDG!I12</f>
        <v>0</v>
      </c>
      <c r="K132" s="27">
        <f>RDG!J12</f>
        <v>0</v>
      </c>
    </row>
    <row r="133" spans="4:11" x14ac:dyDescent="0.2">
      <c r="D133" s="4" t="s">
        <v>794</v>
      </c>
      <c r="E133" s="4">
        <v>2</v>
      </c>
      <c r="F133" s="4">
        <f>RDG!G13</f>
        <v>132</v>
      </c>
      <c r="G133" s="4" t="str">
        <f>IF(RDG!H13=0,"",RDG!H13)</f>
        <v/>
      </c>
      <c r="H133" s="26">
        <f t="shared" si="6"/>
        <v>2926491.48</v>
      </c>
      <c r="I133" s="4">
        <f t="shared" si="7"/>
        <v>0</v>
      </c>
      <c r="J133" s="27">
        <f>RDG!I13</f>
        <v>1006563</v>
      </c>
      <c r="K133" s="27">
        <f>RDG!J13</f>
        <v>605238</v>
      </c>
    </row>
    <row r="134" spans="4:11" x14ac:dyDescent="0.2">
      <c r="D134" s="4" t="s">
        <v>794</v>
      </c>
      <c r="E134" s="4">
        <v>2</v>
      </c>
      <c r="F134" s="4">
        <f>RDG!G14</f>
        <v>133</v>
      </c>
      <c r="G134" s="4" t="str">
        <f>IF(RDG!H14=0,"",RDG!H14)</f>
        <v/>
      </c>
      <c r="H134" s="26">
        <f t="shared" si="6"/>
        <v>57868208.230000004</v>
      </c>
      <c r="I134" s="4">
        <f t="shared" si="7"/>
        <v>0</v>
      </c>
      <c r="J134" s="27">
        <f>RDG!I14</f>
        <v>16200577</v>
      </c>
      <c r="K134" s="27">
        <f>RDG!J14</f>
        <v>13654677</v>
      </c>
    </row>
    <row r="135" spans="4:11" x14ac:dyDescent="0.2">
      <c r="D135" s="4" t="s">
        <v>794</v>
      </c>
      <c r="E135" s="4">
        <v>2</v>
      </c>
      <c r="F135" s="4">
        <f>RDG!G15</f>
        <v>134</v>
      </c>
      <c r="G135" s="4" t="str">
        <f>IF(RDG!H15=0,"",RDG!H15)</f>
        <v/>
      </c>
      <c r="H135" s="26">
        <f t="shared" si="6"/>
        <v>0</v>
      </c>
      <c r="I135" s="4">
        <f t="shared" si="7"/>
        <v>0</v>
      </c>
      <c r="J135" s="27">
        <f>RDG!I15</f>
        <v>0</v>
      </c>
      <c r="K135" s="27">
        <f>RDG!J15</f>
        <v>0</v>
      </c>
    </row>
    <row r="136" spans="4:11" x14ac:dyDescent="0.2">
      <c r="D136" s="4" t="s">
        <v>794</v>
      </c>
      <c r="E136" s="4">
        <v>2</v>
      </c>
      <c r="F136" s="4">
        <f>RDG!G16</f>
        <v>135</v>
      </c>
      <c r="G136" s="4" t="str">
        <f>IF(RDG!H16=0,"",RDG!H16)</f>
        <v/>
      </c>
      <c r="H136" s="26">
        <f t="shared" si="6"/>
        <v>6178094.0999999996</v>
      </c>
      <c r="I136" s="4">
        <f t="shared" si="7"/>
        <v>0</v>
      </c>
      <c r="J136" s="27">
        <f>RDG!I16</f>
        <v>1531238</v>
      </c>
      <c r="K136" s="27">
        <f>RDG!J16</f>
        <v>1522564</v>
      </c>
    </row>
    <row r="137" spans="4:11" x14ac:dyDescent="0.2">
      <c r="D137" s="4" t="s">
        <v>794</v>
      </c>
      <c r="E137" s="4">
        <v>2</v>
      </c>
      <c r="F137" s="4">
        <f>RDG!G17</f>
        <v>136</v>
      </c>
      <c r="G137" s="4" t="str">
        <f>IF(RDG!H17=0,"",RDG!H17)</f>
        <v/>
      </c>
      <c r="H137" s="26">
        <f t="shared" si="6"/>
        <v>1339416.3999999999</v>
      </c>
      <c r="I137" s="4">
        <f t="shared" si="7"/>
        <v>0</v>
      </c>
      <c r="J137" s="27">
        <f>RDG!I17</f>
        <v>350041</v>
      </c>
      <c r="K137" s="27">
        <f>RDG!J17</f>
        <v>317412</v>
      </c>
    </row>
    <row r="138" spans="4:11" x14ac:dyDescent="0.2">
      <c r="D138" s="4" t="s">
        <v>794</v>
      </c>
      <c r="E138" s="4">
        <v>2</v>
      </c>
      <c r="F138" s="4">
        <f>RDG!G18</f>
        <v>137</v>
      </c>
      <c r="G138" s="4" t="str">
        <f>IF(RDG!H18=0,"",RDG!H18)</f>
        <v/>
      </c>
      <c r="H138" s="26">
        <f t="shared" si="6"/>
        <v>0</v>
      </c>
      <c r="I138" s="4">
        <f t="shared" si="7"/>
        <v>0</v>
      </c>
      <c r="J138" s="27">
        <f>RDG!I18</f>
        <v>0</v>
      </c>
      <c r="K138" s="27">
        <f>RDG!J18</f>
        <v>0</v>
      </c>
    </row>
    <row r="139" spans="4:11" x14ac:dyDescent="0.2">
      <c r="D139" s="4" t="s">
        <v>794</v>
      </c>
      <c r="E139" s="4">
        <v>2</v>
      </c>
      <c r="F139" s="4">
        <f>RDG!G19</f>
        <v>138</v>
      </c>
      <c r="G139" s="4" t="str">
        <f>IF(RDG!H19=0,"",RDG!H19)</f>
        <v/>
      </c>
      <c r="H139" s="26">
        <f t="shared" si="6"/>
        <v>4956271.38</v>
      </c>
      <c r="I139" s="4">
        <f t="shared" si="7"/>
        <v>0</v>
      </c>
      <c r="J139" s="27">
        <f>RDG!I19</f>
        <v>1181197</v>
      </c>
      <c r="K139" s="27">
        <f>RDG!J19</f>
        <v>1205152</v>
      </c>
    </row>
    <row r="140" spans="4:11" x14ac:dyDescent="0.2">
      <c r="D140" s="4" t="s">
        <v>794</v>
      </c>
      <c r="E140" s="4">
        <v>2</v>
      </c>
      <c r="F140" s="4">
        <f>RDG!G20</f>
        <v>139</v>
      </c>
      <c r="G140" s="4" t="str">
        <f>IF(RDG!H20=0,"",RDG!H20)</f>
        <v/>
      </c>
      <c r="H140" s="26">
        <f t="shared" si="6"/>
        <v>46101081.939999998</v>
      </c>
      <c r="I140" s="4">
        <f t="shared" si="7"/>
        <v>0</v>
      </c>
      <c r="J140" s="27">
        <f>RDG!I20</f>
        <v>12733314</v>
      </c>
      <c r="K140" s="27">
        <f>RDG!J20</f>
        <v>10216466</v>
      </c>
    </row>
    <row r="141" spans="4:11" x14ac:dyDescent="0.2">
      <c r="D141" s="4" t="s">
        <v>794</v>
      </c>
      <c r="E141" s="4">
        <v>2</v>
      </c>
      <c r="F141" s="4">
        <f>RDG!G21</f>
        <v>140</v>
      </c>
      <c r="G141" s="4" t="str">
        <f>IF(RDG!H21=0,"",RDG!H21)</f>
        <v/>
      </c>
      <c r="H141" s="26">
        <f t="shared" si="6"/>
        <v>29039791.199999999</v>
      </c>
      <c r="I141" s="4">
        <f t="shared" si="7"/>
        <v>0</v>
      </c>
      <c r="J141" s="27">
        <f>RDG!I21</f>
        <v>7891782</v>
      </c>
      <c r="K141" s="27">
        <f>RDG!J21</f>
        <v>6425463</v>
      </c>
    </row>
    <row r="142" spans="4:11" x14ac:dyDescent="0.2">
      <c r="D142" s="4" t="s">
        <v>794</v>
      </c>
      <c r="E142" s="4">
        <v>2</v>
      </c>
      <c r="F142" s="4">
        <f>RDG!G22</f>
        <v>141</v>
      </c>
      <c r="G142" s="4" t="str">
        <f>IF(RDG!H22=0,"",RDG!H22)</f>
        <v/>
      </c>
      <c r="H142" s="26">
        <f t="shared" si="6"/>
        <v>11114829.779999999</v>
      </c>
      <c r="I142" s="4">
        <f t="shared" si="7"/>
        <v>0</v>
      </c>
      <c r="J142" s="27">
        <f>RDG!I22</f>
        <v>3097638</v>
      </c>
      <c r="K142" s="27">
        <f>RDG!J22</f>
        <v>2392610</v>
      </c>
    </row>
    <row r="143" spans="4:11" x14ac:dyDescent="0.2">
      <c r="D143" s="4" t="s">
        <v>794</v>
      </c>
      <c r="E143" s="4">
        <v>2</v>
      </c>
      <c r="F143" s="4">
        <f>RDG!G23</f>
        <v>142</v>
      </c>
      <c r="G143" s="4" t="str">
        <f>IF(RDG!H23=0,"",RDG!H23)</f>
        <v/>
      </c>
      <c r="H143" s="26">
        <f t="shared" si="6"/>
        <v>6447765.5999999996</v>
      </c>
      <c r="I143" s="4">
        <f t="shared" si="7"/>
        <v>0</v>
      </c>
      <c r="J143" s="27">
        <f>RDG!I23</f>
        <v>1743894</v>
      </c>
      <c r="K143" s="27">
        <f>RDG!J23</f>
        <v>1398393</v>
      </c>
    </row>
    <row r="144" spans="4:11" x14ac:dyDescent="0.2">
      <c r="D144" s="4" t="s">
        <v>794</v>
      </c>
      <c r="E144" s="4">
        <v>2</v>
      </c>
      <c r="F144" s="4">
        <f>RDG!G24</f>
        <v>143</v>
      </c>
      <c r="G144" s="4" t="str">
        <f>IF(RDG!H24=0,"",RDG!H24)</f>
        <v/>
      </c>
      <c r="H144" s="26">
        <f t="shared" si="6"/>
        <v>1084826.6000000001</v>
      </c>
      <c r="I144" s="4">
        <f t="shared" si="7"/>
        <v>0</v>
      </c>
      <c r="J144" s="27">
        <f>RDG!I24</f>
        <v>293174</v>
      </c>
      <c r="K144" s="27">
        <f>RDG!J24</f>
        <v>232723</v>
      </c>
    </row>
    <row r="145" spans="4:11" x14ac:dyDescent="0.2">
      <c r="D145" s="4" t="s">
        <v>794</v>
      </c>
      <c r="E145" s="4">
        <v>2</v>
      </c>
      <c r="F145" s="4">
        <f>RDG!G25</f>
        <v>144</v>
      </c>
      <c r="G145" s="4" t="str">
        <f>IF(RDG!H25=0,"",RDG!H25)</f>
        <v/>
      </c>
      <c r="H145" s="26">
        <f t="shared" si="6"/>
        <v>4908216.96</v>
      </c>
      <c r="I145" s="4">
        <f t="shared" si="7"/>
        <v>0</v>
      </c>
      <c r="J145" s="27">
        <f>RDG!I25</f>
        <v>1038058</v>
      </c>
      <c r="K145" s="27">
        <f>RDG!J25</f>
        <v>1185213</v>
      </c>
    </row>
    <row r="146" spans="4:11" x14ac:dyDescent="0.2">
      <c r="D146" s="4" t="s">
        <v>794</v>
      </c>
      <c r="E146" s="4">
        <v>2</v>
      </c>
      <c r="F146" s="4">
        <f>RDG!G26</f>
        <v>145</v>
      </c>
      <c r="G146" s="4" t="str">
        <f>IF(RDG!H26=0,"",RDG!H26)</f>
        <v/>
      </c>
      <c r="H146" s="26">
        <f t="shared" si="6"/>
        <v>0</v>
      </c>
      <c r="I146" s="4">
        <f t="shared" si="7"/>
        <v>0</v>
      </c>
      <c r="J146" s="27">
        <f>RDG!I26</f>
        <v>0</v>
      </c>
      <c r="K146" s="27">
        <f>RDG!J26</f>
        <v>0</v>
      </c>
    </row>
    <row r="147" spans="4:11" x14ac:dyDescent="0.2">
      <c r="D147" s="4" t="s">
        <v>794</v>
      </c>
      <c r="E147" s="4">
        <v>2</v>
      </c>
      <c r="F147" s="4">
        <f>RDG!G27</f>
        <v>146</v>
      </c>
      <c r="G147" s="4" t="str">
        <f>IF(RDG!H27=0,"",RDG!H27)</f>
        <v/>
      </c>
      <c r="H147" s="26">
        <f t="shared" si="6"/>
        <v>0</v>
      </c>
      <c r="I147" s="4">
        <f t="shared" si="7"/>
        <v>0</v>
      </c>
      <c r="J147" s="27">
        <f>RDG!I27</f>
        <v>0</v>
      </c>
      <c r="K147" s="27">
        <f>RDG!J27</f>
        <v>0</v>
      </c>
    </row>
    <row r="148" spans="4:11" x14ac:dyDescent="0.2">
      <c r="D148" s="4" t="s">
        <v>794</v>
      </c>
      <c r="E148" s="4">
        <v>2</v>
      </c>
      <c r="F148" s="4">
        <f>RDG!G28</f>
        <v>147</v>
      </c>
      <c r="G148" s="4" t="str">
        <f>IF(RDG!H28=0,"",RDG!H28)</f>
        <v/>
      </c>
      <c r="H148" s="26">
        <f t="shared" si="6"/>
        <v>0</v>
      </c>
      <c r="I148" s="4">
        <f t="shared" si="7"/>
        <v>0</v>
      </c>
      <c r="J148" s="27">
        <f>RDG!I28</f>
        <v>0</v>
      </c>
      <c r="K148" s="27">
        <f>RDG!J28</f>
        <v>0</v>
      </c>
    </row>
    <row r="149" spans="4:11" x14ac:dyDescent="0.2">
      <c r="D149" s="4" t="s">
        <v>794</v>
      </c>
      <c r="E149" s="4">
        <v>2</v>
      </c>
      <c r="F149" s="4">
        <f>RDG!G29</f>
        <v>148</v>
      </c>
      <c r="G149" s="4" t="str">
        <f>IF(RDG!H29=0,"",RDG!H29)</f>
        <v/>
      </c>
      <c r="H149" s="26">
        <f t="shared" si="6"/>
        <v>2114234.7600000002</v>
      </c>
      <c r="I149" s="4">
        <f t="shared" si="7"/>
        <v>0</v>
      </c>
      <c r="J149" s="27">
        <f>RDG!I29</f>
        <v>521817</v>
      </c>
      <c r="K149" s="27">
        <f>RDG!J29</f>
        <v>453360</v>
      </c>
    </row>
    <row r="150" spans="4:11" x14ac:dyDescent="0.2">
      <c r="D150" s="4" t="s">
        <v>794</v>
      </c>
      <c r="E150" s="4">
        <v>2</v>
      </c>
      <c r="F150" s="4">
        <f>RDG!G30</f>
        <v>149</v>
      </c>
      <c r="G150" s="4" t="str">
        <f>IF(RDG!H30=0,"",RDG!H30)</f>
        <v/>
      </c>
      <c r="H150" s="26">
        <f t="shared" si="6"/>
        <v>2128520.13</v>
      </c>
      <c r="I150" s="4">
        <f t="shared" si="7"/>
        <v>0</v>
      </c>
      <c r="J150" s="27">
        <f>RDG!I30</f>
        <v>521817</v>
      </c>
      <c r="K150" s="27">
        <f>RDG!J30</f>
        <v>453360</v>
      </c>
    </row>
    <row r="151" spans="4:11" x14ac:dyDescent="0.2">
      <c r="D151" s="4" t="s">
        <v>794</v>
      </c>
      <c r="E151" s="4">
        <v>2</v>
      </c>
      <c r="F151" s="4">
        <f>RDG!G31</f>
        <v>150</v>
      </c>
      <c r="G151" s="4" t="str">
        <f>IF(RDG!H31=0,"",RDG!H31)</f>
        <v/>
      </c>
      <c r="H151" s="26">
        <f t="shared" si="6"/>
        <v>0</v>
      </c>
      <c r="I151" s="4">
        <f t="shared" si="7"/>
        <v>0</v>
      </c>
      <c r="J151" s="27">
        <f>RDG!I31</f>
        <v>0</v>
      </c>
      <c r="K151" s="27">
        <f>RDG!J31</f>
        <v>0</v>
      </c>
    </row>
    <row r="152" spans="4:11" x14ac:dyDescent="0.2">
      <c r="D152" s="4" t="s">
        <v>794</v>
      </c>
      <c r="E152" s="4">
        <v>2</v>
      </c>
      <c r="F152" s="4">
        <f>RDG!G32</f>
        <v>151</v>
      </c>
      <c r="G152" s="4" t="str">
        <f>IF(RDG!H32=0,"",RDG!H32)</f>
        <v/>
      </c>
      <c r="H152" s="26">
        <f t="shared" si="6"/>
        <v>0</v>
      </c>
      <c r="I152" s="4">
        <f t="shared" si="7"/>
        <v>0</v>
      </c>
      <c r="J152" s="27">
        <f>RDG!I32</f>
        <v>0</v>
      </c>
      <c r="K152" s="27">
        <f>RDG!J32</f>
        <v>0</v>
      </c>
    </row>
    <row r="153" spans="4:11" x14ac:dyDescent="0.2">
      <c r="D153" s="4" t="s">
        <v>794</v>
      </c>
      <c r="E153" s="4">
        <v>2</v>
      </c>
      <c r="F153" s="4">
        <f>RDG!G33</f>
        <v>152</v>
      </c>
      <c r="G153" s="4" t="str">
        <f>IF(RDG!H33=0,"",RDG!H33)</f>
        <v/>
      </c>
      <c r="H153" s="26">
        <f t="shared" si="6"/>
        <v>0</v>
      </c>
      <c r="I153" s="4">
        <f t="shared" si="7"/>
        <v>0</v>
      </c>
      <c r="J153" s="27">
        <f>RDG!I33</f>
        <v>0</v>
      </c>
      <c r="K153" s="27">
        <f>RDG!J33</f>
        <v>0</v>
      </c>
    </row>
    <row r="154" spans="4:11" x14ac:dyDescent="0.2">
      <c r="D154" s="4" t="s">
        <v>794</v>
      </c>
      <c r="E154" s="4">
        <v>2</v>
      </c>
      <c r="F154" s="4">
        <f>RDG!G34</f>
        <v>153</v>
      </c>
      <c r="G154" s="4" t="str">
        <f>IF(RDG!H34=0,"",RDG!H34)</f>
        <v/>
      </c>
      <c r="H154" s="26">
        <f t="shared" si="6"/>
        <v>0</v>
      </c>
      <c r="I154" s="4">
        <f t="shared" si="7"/>
        <v>0</v>
      </c>
      <c r="J154" s="27">
        <f>RDG!I34</f>
        <v>0</v>
      </c>
      <c r="K154" s="27">
        <f>RDG!J34</f>
        <v>0</v>
      </c>
    </row>
    <row r="155" spans="4:11" x14ac:dyDescent="0.2">
      <c r="D155" s="4" t="s">
        <v>794</v>
      </c>
      <c r="E155" s="4">
        <v>2</v>
      </c>
      <c r="F155" s="4">
        <f>RDG!G35</f>
        <v>154</v>
      </c>
      <c r="G155" s="4" t="str">
        <f>IF(RDG!H35=0,"",RDG!H35)</f>
        <v/>
      </c>
      <c r="H155" s="26">
        <f t="shared" si="6"/>
        <v>0</v>
      </c>
      <c r="I155" s="4">
        <f t="shared" si="7"/>
        <v>0</v>
      </c>
      <c r="J155" s="27">
        <f>RDG!I35</f>
        <v>0</v>
      </c>
      <c r="K155" s="27">
        <f>RDG!J35</f>
        <v>0</v>
      </c>
    </row>
    <row r="156" spans="4:11" x14ac:dyDescent="0.2">
      <c r="D156" s="4" t="s">
        <v>794</v>
      </c>
      <c r="E156" s="4">
        <v>2</v>
      </c>
      <c r="F156" s="4">
        <f>RDG!G36</f>
        <v>155</v>
      </c>
      <c r="G156" s="4" t="str">
        <f>IF(RDG!H36=0,"",RDG!H36)</f>
        <v/>
      </c>
      <c r="H156" s="26">
        <f t="shared" si="6"/>
        <v>266100.90000000002</v>
      </c>
      <c r="I156" s="4">
        <f t="shared" si="7"/>
        <v>0</v>
      </c>
      <c r="J156" s="27">
        <f>RDG!I36</f>
        <v>82976</v>
      </c>
      <c r="K156" s="27">
        <f>RDG!J36</f>
        <v>44351</v>
      </c>
    </row>
    <row r="157" spans="4:11" x14ac:dyDescent="0.2">
      <c r="D157" s="4" t="s">
        <v>794</v>
      </c>
      <c r="E157" s="4">
        <v>2</v>
      </c>
      <c r="F157" s="4">
        <f>RDG!G37</f>
        <v>156</v>
      </c>
      <c r="G157" s="4" t="str">
        <f>IF(RDG!H37=0,"",RDG!H37)</f>
        <v/>
      </c>
      <c r="H157" s="26">
        <f t="shared" si="6"/>
        <v>7035.6</v>
      </c>
      <c r="I157" s="4">
        <f t="shared" si="7"/>
        <v>0</v>
      </c>
      <c r="J157" s="27">
        <f>RDG!I37</f>
        <v>1400</v>
      </c>
      <c r="K157" s="27">
        <f>RDG!J37</f>
        <v>1555</v>
      </c>
    </row>
    <row r="158" spans="4:11" x14ac:dyDescent="0.2">
      <c r="D158" s="4" t="s">
        <v>794</v>
      </c>
      <c r="E158" s="4">
        <v>2</v>
      </c>
      <c r="F158" s="4">
        <f>RDG!G38</f>
        <v>157</v>
      </c>
      <c r="G158" s="4" t="str">
        <f>IF(RDG!H38=0,"",RDG!H38)</f>
        <v/>
      </c>
      <c r="H158" s="26">
        <f t="shared" si="6"/>
        <v>0</v>
      </c>
      <c r="I158" s="4">
        <f t="shared" si="7"/>
        <v>0</v>
      </c>
      <c r="J158" s="27">
        <f>RDG!I38</f>
        <v>0</v>
      </c>
      <c r="K158" s="27">
        <f>RDG!J38</f>
        <v>0</v>
      </c>
    </row>
    <row r="159" spans="4:11" x14ac:dyDescent="0.2">
      <c r="D159" s="4" t="s">
        <v>794</v>
      </c>
      <c r="E159" s="4">
        <v>2</v>
      </c>
      <c r="F159" s="4">
        <f>RDG!G39</f>
        <v>158</v>
      </c>
      <c r="G159" s="4" t="str">
        <f>IF(RDG!H39=0,"",RDG!H39)</f>
        <v/>
      </c>
      <c r="H159" s="26">
        <f t="shared" si="6"/>
        <v>0</v>
      </c>
      <c r="I159" s="4">
        <f t="shared" si="7"/>
        <v>0</v>
      </c>
      <c r="J159" s="27">
        <f>RDG!I39</f>
        <v>0</v>
      </c>
      <c r="K159" s="27">
        <f>RDG!J39</f>
        <v>0</v>
      </c>
    </row>
    <row r="160" spans="4:11" x14ac:dyDescent="0.2">
      <c r="D160" s="4" t="s">
        <v>794</v>
      </c>
      <c r="E160" s="4">
        <v>2</v>
      </c>
      <c r="F160" s="4">
        <f>RDG!G40</f>
        <v>159</v>
      </c>
      <c r="G160" s="4" t="str">
        <f>IF(RDG!H40=0,"",RDG!H40)</f>
        <v/>
      </c>
      <c r="H160" s="26">
        <f t="shared" si="6"/>
        <v>0</v>
      </c>
      <c r="I160" s="4">
        <f t="shared" si="7"/>
        <v>0</v>
      </c>
      <c r="J160" s="27">
        <f>RDG!I40</f>
        <v>0</v>
      </c>
      <c r="K160" s="27">
        <f>RDG!J40</f>
        <v>0</v>
      </c>
    </row>
    <row r="161" spans="4:11" x14ac:dyDescent="0.2">
      <c r="D161" s="4" t="s">
        <v>794</v>
      </c>
      <c r="E161" s="4">
        <v>2</v>
      </c>
      <c r="F161" s="4">
        <f>RDG!G41</f>
        <v>160</v>
      </c>
      <c r="G161" s="4" t="str">
        <f>IF(RDG!H41=0,"",RDG!H41)</f>
        <v/>
      </c>
      <c r="H161" s="26">
        <f t="shared" si="6"/>
        <v>0</v>
      </c>
      <c r="I161" s="4">
        <f t="shared" si="7"/>
        <v>0</v>
      </c>
      <c r="J161" s="27">
        <f>RDG!I41</f>
        <v>0</v>
      </c>
      <c r="K161" s="27">
        <f>RDG!J41</f>
        <v>0</v>
      </c>
    </row>
    <row r="162" spans="4:11" x14ac:dyDescent="0.2">
      <c r="D162" s="4" t="s">
        <v>794</v>
      </c>
      <c r="E162" s="4">
        <v>2</v>
      </c>
      <c r="F162" s="4">
        <f>RDG!G42</f>
        <v>161</v>
      </c>
      <c r="G162" s="4" t="str">
        <f>IF(RDG!H42=0,"",RDG!H42)</f>
        <v/>
      </c>
      <c r="H162" s="26">
        <f t="shared" si="6"/>
        <v>0</v>
      </c>
      <c r="I162" s="4">
        <f t="shared" si="7"/>
        <v>0</v>
      </c>
      <c r="J162" s="27">
        <f>RDG!I42</f>
        <v>0</v>
      </c>
      <c r="K162" s="27">
        <f>RDG!J42</f>
        <v>0</v>
      </c>
    </row>
    <row r="163" spans="4:11" x14ac:dyDescent="0.2">
      <c r="D163" s="4" t="s">
        <v>794</v>
      </c>
      <c r="E163" s="4">
        <v>2</v>
      </c>
      <c r="F163" s="4">
        <f>RDG!G43</f>
        <v>162</v>
      </c>
      <c r="G163" s="4" t="str">
        <f>IF(RDG!H43=0,"",RDG!H43)</f>
        <v/>
      </c>
      <c r="H163" s="26">
        <f t="shared" si="6"/>
        <v>0</v>
      </c>
      <c r="I163" s="4">
        <f t="shared" si="7"/>
        <v>0</v>
      </c>
      <c r="J163" s="27">
        <f>RDG!I43</f>
        <v>0</v>
      </c>
      <c r="K163" s="27">
        <f>RDG!J43</f>
        <v>0</v>
      </c>
    </row>
    <row r="164" spans="4:11" x14ac:dyDescent="0.2">
      <c r="D164" s="4" t="s">
        <v>794</v>
      </c>
      <c r="E164" s="4">
        <v>2</v>
      </c>
      <c r="F164" s="4">
        <f>RDG!G44</f>
        <v>163</v>
      </c>
      <c r="G164" s="4" t="str">
        <f>IF(RDG!H44=0,"",RDG!H44)</f>
        <v/>
      </c>
      <c r="H164" s="26">
        <f t="shared" si="6"/>
        <v>7351.3</v>
      </c>
      <c r="I164" s="4">
        <f t="shared" si="7"/>
        <v>0</v>
      </c>
      <c r="J164" s="27">
        <f>RDG!I44</f>
        <v>1400</v>
      </c>
      <c r="K164" s="27">
        <f>RDG!J44</f>
        <v>1555</v>
      </c>
    </row>
    <row r="165" spans="4:11" x14ac:dyDescent="0.2">
      <c r="D165" s="4" t="s">
        <v>794</v>
      </c>
      <c r="E165" s="4">
        <v>2</v>
      </c>
      <c r="F165" s="4">
        <f>RDG!G45</f>
        <v>164</v>
      </c>
      <c r="G165" s="4" t="str">
        <f>IF(RDG!H45=0,"",RDG!H45)</f>
        <v/>
      </c>
      <c r="H165" s="26">
        <f t="shared" si="6"/>
        <v>0</v>
      </c>
      <c r="I165" s="4">
        <f t="shared" si="7"/>
        <v>0</v>
      </c>
      <c r="J165" s="27">
        <f>RDG!I45</f>
        <v>0</v>
      </c>
      <c r="K165" s="27">
        <f>RDG!J45</f>
        <v>0</v>
      </c>
    </row>
    <row r="166" spans="4:11" x14ac:dyDescent="0.2">
      <c r="D166" s="4" t="s">
        <v>794</v>
      </c>
      <c r="E166" s="4">
        <v>2</v>
      </c>
      <c r="F166" s="4">
        <f>RDG!G46</f>
        <v>165</v>
      </c>
      <c r="G166" s="4" t="str">
        <f>IF(RDG!H46=0,"",RDG!H46)</f>
        <v/>
      </c>
      <c r="H166" s="26">
        <f t="shared" si="6"/>
        <v>0</v>
      </c>
      <c r="I166" s="4">
        <f t="shared" si="7"/>
        <v>0</v>
      </c>
      <c r="J166" s="27">
        <f>RDG!I46</f>
        <v>0</v>
      </c>
      <c r="K166" s="27">
        <f>RDG!J46</f>
        <v>0</v>
      </c>
    </row>
    <row r="167" spans="4:11" x14ac:dyDescent="0.2">
      <c r="D167" s="4" t="s">
        <v>794</v>
      </c>
      <c r="E167" s="4">
        <v>2</v>
      </c>
      <c r="F167" s="4">
        <f>RDG!G47</f>
        <v>166</v>
      </c>
      <c r="G167" s="4" t="str">
        <f>IF(RDG!H47=0,"",RDG!H47)</f>
        <v/>
      </c>
      <c r="H167" s="26">
        <f t="shared" si="6"/>
        <v>0</v>
      </c>
      <c r="I167" s="4">
        <f t="shared" si="7"/>
        <v>0</v>
      </c>
      <c r="J167" s="27">
        <f>RDG!I47</f>
        <v>0</v>
      </c>
      <c r="K167" s="27">
        <f>RDG!J47</f>
        <v>0</v>
      </c>
    </row>
    <row r="168" spans="4:11" x14ac:dyDescent="0.2">
      <c r="D168" s="4" t="s">
        <v>794</v>
      </c>
      <c r="E168" s="4">
        <v>2</v>
      </c>
      <c r="F168" s="4">
        <f>RDG!G48</f>
        <v>167</v>
      </c>
      <c r="G168" s="4" t="str">
        <f>IF(RDG!H48=0,"",RDG!H48)</f>
        <v/>
      </c>
      <c r="H168" s="26">
        <f t="shared" si="6"/>
        <v>706.41</v>
      </c>
      <c r="I168" s="4">
        <f t="shared" si="7"/>
        <v>0</v>
      </c>
      <c r="J168" s="27">
        <f>RDG!I48</f>
        <v>17</v>
      </c>
      <c r="K168" s="27">
        <f>RDG!J48</f>
        <v>203</v>
      </c>
    </row>
    <row r="169" spans="4:11" x14ac:dyDescent="0.2">
      <c r="D169" s="4" t="s">
        <v>794</v>
      </c>
      <c r="E169" s="4">
        <v>2</v>
      </c>
      <c r="F169" s="4">
        <f>RDG!G49</f>
        <v>168</v>
      </c>
      <c r="G169" s="4" t="str">
        <f>IF(RDG!H49=0,"",RDG!H49)</f>
        <v/>
      </c>
      <c r="H169" s="26">
        <f t="shared" si="6"/>
        <v>0</v>
      </c>
      <c r="I169" s="4">
        <f t="shared" si="7"/>
        <v>0</v>
      </c>
      <c r="J169" s="27">
        <f>RDG!I49</f>
        <v>0</v>
      </c>
      <c r="K169" s="27">
        <f>RDG!J49</f>
        <v>0</v>
      </c>
    </row>
    <row r="170" spans="4:11" x14ac:dyDescent="0.2">
      <c r="D170" s="4" t="s">
        <v>794</v>
      </c>
      <c r="E170" s="4">
        <v>2</v>
      </c>
      <c r="F170" s="4">
        <f>RDG!G50</f>
        <v>169</v>
      </c>
      <c r="G170" s="4" t="str">
        <f>IF(RDG!H50=0,"",RDG!H50)</f>
        <v/>
      </c>
      <c r="H170" s="26">
        <f t="shared" si="6"/>
        <v>0</v>
      </c>
      <c r="I170" s="4">
        <f t="shared" si="7"/>
        <v>0</v>
      </c>
      <c r="J170" s="27">
        <f>RDG!I50</f>
        <v>0</v>
      </c>
      <c r="K170" s="27">
        <f>RDG!J50</f>
        <v>0</v>
      </c>
    </row>
    <row r="171" spans="4:11" x14ac:dyDescent="0.2">
      <c r="D171" s="4" t="s">
        <v>794</v>
      </c>
      <c r="E171" s="4">
        <v>2</v>
      </c>
      <c r="F171" s="4">
        <f>RDG!G51</f>
        <v>170</v>
      </c>
      <c r="G171" s="4" t="str">
        <f>IF(RDG!H51=0,"",RDG!H51)</f>
        <v/>
      </c>
      <c r="H171" s="26">
        <f t="shared" si="6"/>
        <v>719.09999999999991</v>
      </c>
      <c r="I171" s="4">
        <f t="shared" si="7"/>
        <v>0</v>
      </c>
      <c r="J171" s="27">
        <f>RDG!I51</f>
        <v>17</v>
      </c>
      <c r="K171" s="27">
        <f>RDG!J51</f>
        <v>203</v>
      </c>
    </row>
    <row r="172" spans="4:11" x14ac:dyDescent="0.2">
      <c r="D172" s="4" t="s">
        <v>794</v>
      </c>
      <c r="E172" s="4">
        <v>2</v>
      </c>
      <c r="F172" s="4">
        <f>RDG!G52</f>
        <v>171</v>
      </c>
      <c r="G172" s="4" t="str">
        <f>IF(RDG!H52=0,"",RDG!H52)</f>
        <v/>
      </c>
      <c r="H172" s="26">
        <f t="shared" si="6"/>
        <v>0</v>
      </c>
      <c r="I172" s="4">
        <f t="shared" si="7"/>
        <v>0</v>
      </c>
      <c r="J172" s="27">
        <f>RDG!I52</f>
        <v>0</v>
      </c>
      <c r="K172" s="27">
        <f>RDG!J52</f>
        <v>0</v>
      </c>
    </row>
    <row r="173" spans="4:11" x14ac:dyDescent="0.2">
      <c r="D173" s="4" t="s">
        <v>794</v>
      </c>
      <c r="E173" s="4">
        <v>2</v>
      </c>
      <c r="F173" s="4">
        <f>RDG!G53</f>
        <v>172</v>
      </c>
      <c r="G173" s="4" t="str">
        <f>IF(RDG!H53=0,"",RDG!H53)</f>
        <v/>
      </c>
      <c r="H173" s="26">
        <f t="shared" si="6"/>
        <v>0</v>
      </c>
      <c r="I173" s="4">
        <f t="shared" si="7"/>
        <v>0</v>
      </c>
      <c r="J173" s="27">
        <f>RDG!I53</f>
        <v>0</v>
      </c>
      <c r="K173" s="27">
        <f>RDG!J53</f>
        <v>0</v>
      </c>
    </row>
    <row r="174" spans="4:11" x14ac:dyDescent="0.2">
      <c r="D174" s="4" t="s">
        <v>794</v>
      </c>
      <c r="E174" s="4">
        <v>2</v>
      </c>
      <c r="F174" s="4">
        <f>RDG!G54</f>
        <v>173</v>
      </c>
      <c r="G174" s="4" t="str">
        <f>IF(RDG!H54=0,"",RDG!H54)</f>
        <v/>
      </c>
      <c r="H174" s="26">
        <f t="shared" si="6"/>
        <v>0</v>
      </c>
      <c r="I174" s="4">
        <f t="shared" si="7"/>
        <v>0</v>
      </c>
      <c r="J174" s="27">
        <f>RDG!I54</f>
        <v>0</v>
      </c>
      <c r="K174" s="27">
        <f>RDG!J54</f>
        <v>0</v>
      </c>
    </row>
    <row r="175" spans="4:11" x14ac:dyDescent="0.2">
      <c r="D175" s="4" t="s">
        <v>794</v>
      </c>
      <c r="E175" s="4">
        <v>2</v>
      </c>
      <c r="F175" s="4">
        <f>RDG!G55</f>
        <v>174</v>
      </c>
      <c r="G175" s="4" t="str">
        <f>IF(RDG!H55=0,"",RDG!H55)</f>
        <v/>
      </c>
      <c r="H175" s="26">
        <f t="shared" si="6"/>
        <v>0</v>
      </c>
      <c r="I175" s="4">
        <f t="shared" si="7"/>
        <v>0</v>
      </c>
      <c r="J175" s="27">
        <f>RDG!I55</f>
        <v>0</v>
      </c>
      <c r="K175" s="27">
        <f>RDG!J55</f>
        <v>0</v>
      </c>
    </row>
    <row r="176" spans="4:11" x14ac:dyDescent="0.2">
      <c r="D176" s="4" t="s">
        <v>794</v>
      </c>
      <c r="E176" s="4">
        <v>2</v>
      </c>
      <c r="F176" s="4">
        <f>RDG!G56</f>
        <v>175</v>
      </c>
      <c r="G176" s="4" t="str">
        <f>IF(RDG!H56=0,"",RDG!H56)</f>
        <v/>
      </c>
      <c r="H176" s="26">
        <f t="shared" si="6"/>
        <v>0</v>
      </c>
      <c r="I176" s="4">
        <f t="shared" si="7"/>
        <v>0</v>
      </c>
      <c r="J176" s="27">
        <f>RDG!I56</f>
        <v>0</v>
      </c>
      <c r="K176" s="27">
        <f>RDG!J56</f>
        <v>0</v>
      </c>
    </row>
    <row r="177" spans="4:11" x14ac:dyDescent="0.2">
      <c r="D177" s="4" t="s">
        <v>794</v>
      </c>
      <c r="E177" s="4">
        <v>2</v>
      </c>
      <c r="F177" s="4">
        <f>RDG!G57</f>
        <v>176</v>
      </c>
      <c r="G177" s="4" t="str">
        <f>IF(RDG!H57=0,"",RDG!H57)</f>
        <v/>
      </c>
      <c r="H177" s="26">
        <f t="shared" si="6"/>
        <v>0</v>
      </c>
      <c r="I177" s="4">
        <f t="shared" si="7"/>
        <v>0</v>
      </c>
      <c r="J177" s="27">
        <f>RDG!I57</f>
        <v>0</v>
      </c>
      <c r="K177" s="27">
        <f>RDG!J57</f>
        <v>0</v>
      </c>
    </row>
    <row r="178" spans="4:11" x14ac:dyDescent="0.2">
      <c r="D178" s="4" t="s">
        <v>794</v>
      </c>
      <c r="E178" s="4">
        <v>2</v>
      </c>
      <c r="F178" s="4">
        <f>RDG!G58</f>
        <v>177</v>
      </c>
      <c r="G178" s="4" t="str">
        <f>IF(RDG!H58=0,"",RDG!H58)</f>
        <v/>
      </c>
      <c r="H178" s="26">
        <f t="shared" si="6"/>
        <v>0</v>
      </c>
      <c r="I178" s="4">
        <f t="shared" si="7"/>
        <v>0</v>
      </c>
      <c r="J178" s="27">
        <f>RDG!I58</f>
        <v>0</v>
      </c>
      <c r="K178" s="27">
        <f>RDG!J58</f>
        <v>0</v>
      </c>
    </row>
    <row r="179" spans="4:11" x14ac:dyDescent="0.2">
      <c r="D179" s="4" t="s">
        <v>794</v>
      </c>
      <c r="E179" s="4">
        <v>2</v>
      </c>
      <c r="F179" s="4">
        <f>RDG!G59</f>
        <v>178</v>
      </c>
      <c r="G179" s="4" t="str">
        <f>IF(RDG!H59=0,"",RDG!H59)</f>
        <v/>
      </c>
      <c r="H179" s="26">
        <f t="shared" si="6"/>
        <v>0</v>
      </c>
      <c r="I179" s="4">
        <f t="shared" si="7"/>
        <v>0</v>
      </c>
      <c r="J179" s="27">
        <f>RDG!I59</f>
        <v>0</v>
      </c>
      <c r="K179" s="27">
        <f>RDG!J59</f>
        <v>0</v>
      </c>
    </row>
    <row r="180" spans="4:11" x14ac:dyDescent="0.2">
      <c r="D180" s="4" t="s">
        <v>794</v>
      </c>
      <c r="E180" s="4">
        <v>2</v>
      </c>
      <c r="F180" s="4">
        <f>RDG!G60</f>
        <v>179</v>
      </c>
      <c r="G180" s="4" t="str">
        <f>IF(RDG!H60=0,"",RDG!H60)</f>
        <v/>
      </c>
      <c r="H180" s="26">
        <f t="shared" si="6"/>
        <v>82366848.209999993</v>
      </c>
      <c r="I180" s="4">
        <f t="shared" si="7"/>
        <v>0</v>
      </c>
      <c r="J180" s="27">
        <f>RDG!I60</f>
        <v>17568231</v>
      </c>
      <c r="K180" s="27">
        <f>RDG!J60</f>
        <v>14223384</v>
      </c>
    </row>
    <row r="181" spans="4:11" x14ac:dyDescent="0.2">
      <c r="D181" s="4" t="s">
        <v>794</v>
      </c>
      <c r="E181" s="4">
        <v>2</v>
      </c>
      <c r="F181" s="4">
        <f>RDG!G61</f>
        <v>180</v>
      </c>
      <c r="G181" s="4" t="str">
        <f>IF(RDG!H61=0,"",RDG!H61)</f>
        <v/>
      </c>
      <c r="H181" s="26">
        <f t="shared" si="6"/>
        <v>78318637.199999988</v>
      </c>
      <c r="I181" s="4">
        <f t="shared" si="7"/>
        <v>0</v>
      </c>
      <c r="J181" s="27">
        <f>RDG!I61</f>
        <v>16200594</v>
      </c>
      <c r="K181" s="27">
        <f>RDG!J61</f>
        <v>13654880</v>
      </c>
    </row>
    <row r="182" spans="4:11" x14ac:dyDescent="0.2">
      <c r="D182" s="4" t="s">
        <v>794</v>
      </c>
      <c r="E182" s="4">
        <v>2</v>
      </c>
      <c r="F182" s="4">
        <f>RDG!G62</f>
        <v>181</v>
      </c>
      <c r="G182" s="4" t="str">
        <f>IF(RDG!H62=0,"",RDG!H62)</f>
        <v/>
      </c>
      <c r="H182" s="26">
        <f t="shared" si="6"/>
        <v>4533407.45</v>
      </c>
      <c r="I182" s="4">
        <f t="shared" si="7"/>
        <v>0</v>
      </c>
      <c r="J182" s="27">
        <f>RDG!I62</f>
        <v>1367637</v>
      </c>
      <c r="K182" s="27">
        <f>RDG!J62</f>
        <v>568504</v>
      </c>
    </row>
    <row r="183" spans="4:11" x14ac:dyDescent="0.2">
      <c r="D183" s="4" t="s">
        <v>794</v>
      </c>
      <c r="E183" s="4">
        <v>2</v>
      </c>
      <c r="F183" s="4">
        <f>RDG!G63</f>
        <v>182</v>
      </c>
      <c r="G183" s="4" t="str">
        <f>IF(RDG!H63=0,"",RDG!H63)</f>
        <v/>
      </c>
      <c r="H183" s="26">
        <f t="shared" si="6"/>
        <v>4558453.9000000004</v>
      </c>
      <c r="I183" s="4">
        <f t="shared" si="7"/>
        <v>0</v>
      </c>
      <c r="J183" s="27">
        <f>RDG!I63</f>
        <v>1367637</v>
      </c>
      <c r="K183" s="27">
        <f>RDG!J63</f>
        <v>568504</v>
      </c>
    </row>
    <row r="184" spans="4:11" x14ac:dyDescent="0.2">
      <c r="D184" s="4" t="s">
        <v>794</v>
      </c>
      <c r="E184" s="4">
        <v>2</v>
      </c>
      <c r="F184" s="4">
        <f>RDG!G64</f>
        <v>183</v>
      </c>
      <c r="G184" s="4" t="str">
        <f>IF(RDG!H64=0,"",RDG!H64)</f>
        <v/>
      </c>
      <c r="H184" s="26">
        <f t="shared" si="6"/>
        <v>0</v>
      </c>
      <c r="I184" s="4">
        <f t="shared" si="7"/>
        <v>0</v>
      </c>
      <c r="J184" s="27">
        <f>RDG!I64</f>
        <v>0</v>
      </c>
      <c r="K184" s="27">
        <f>RDG!J64</f>
        <v>0</v>
      </c>
    </row>
    <row r="185" spans="4:11" x14ac:dyDescent="0.2">
      <c r="D185" s="4" t="s">
        <v>794</v>
      </c>
      <c r="E185" s="4">
        <v>2</v>
      </c>
      <c r="F185" s="4">
        <f>RDG!G65</f>
        <v>184</v>
      </c>
      <c r="G185" s="4" t="str">
        <f>IF(RDG!H65=0,"",RDG!H65)</f>
        <v/>
      </c>
      <c r="H185" s="26">
        <f t="shared" si="6"/>
        <v>859239.52</v>
      </c>
      <c r="I185" s="4">
        <f t="shared" si="7"/>
        <v>0</v>
      </c>
      <c r="J185" s="27">
        <f>RDG!I65</f>
        <v>246102</v>
      </c>
      <c r="K185" s="27">
        <f>RDG!J65</f>
        <v>110438</v>
      </c>
    </row>
    <row r="186" spans="4:11" x14ac:dyDescent="0.2">
      <c r="D186" s="4" t="s">
        <v>794</v>
      </c>
      <c r="E186" s="4">
        <v>2</v>
      </c>
      <c r="F186" s="4">
        <f>RDG!G66</f>
        <v>185</v>
      </c>
      <c r="G186" s="4" t="str">
        <f>IF(RDG!H66=0,"",RDG!H66)</f>
        <v/>
      </c>
      <c r="H186" s="26">
        <f t="shared" si="6"/>
        <v>3769683.95</v>
      </c>
      <c r="I186" s="4">
        <f t="shared" si="7"/>
        <v>0</v>
      </c>
      <c r="J186" s="27">
        <f>RDG!I66</f>
        <v>1121535</v>
      </c>
      <c r="K186" s="27">
        <f>RDG!J66</f>
        <v>458066</v>
      </c>
    </row>
    <row r="187" spans="4:11" x14ac:dyDescent="0.2">
      <c r="D187" s="4" t="s">
        <v>794</v>
      </c>
      <c r="E187" s="4">
        <v>2</v>
      </c>
      <c r="F187" s="4">
        <f>RDG!G67</f>
        <v>186</v>
      </c>
      <c r="G187" s="4" t="str">
        <f>IF(RDG!H67=0,"",RDG!H67)</f>
        <v/>
      </c>
      <c r="H187" s="26">
        <f t="shared" si="6"/>
        <v>3790060.62</v>
      </c>
      <c r="I187" s="4">
        <f t="shared" si="7"/>
        <v>0</v>
      </c>
      <c r="J187" s="27">
        <f>RDG!I67</f>
        <v>1121535</v>
      </c>
      <c r="K187" s="27">
        <f>RDG!J67</f>
        <v>458066</v>
      </c>
    </row>
    <row r="188" spans="4:11" x14ac:dyDescent="0.2">
      <c r="D188" s="4" t="s">
        <v>794</v>
      </c>
      <c r="E188" s="4">
        <v>2</v>
      </c>
      <c r="F188" s="4">
        <f>RDG!G68</f>
        <v>187</v>
      </c>
      <c r="G188" s="4" t="str">
        <f>IF(RDG!H68=0,"",RDG!H68)</f>
        <v/>
      </c>
      <c r="H188" s="26">
        <f t="shared" si="6"/>
        <v>0</v>
      </c>
      <c r="I188" s="4">
        <f t="shared" si="7"/>
        <v>0</v>
      </c>
      <c r="J188" s="27">
        <f>RDG!I68</f>
        <v>0</v>
      </c>
      <c r="K188" s="27">
        <f>RDG!J68</f>
        <v>0</v>
      </c>
    </row>
    <row r="189" spans="4:11" x14ac:dyDescent="0.2">
      <c r="D189" s="4" t="s">
        <v>794</v>
      </c>
      <c r="E189" s="4">
        <v>2</v>
      </c>
      <c r="F189" s="4">
        <f>RDG!G70</f>
        <v>188</v>
      </c>
      <c r="G189" s="4" t="str">
        <f>IF(RDG!H70=0,"",RDG!H70)</f>
        <v/>
      </c>
      <c r="H189" s="26">
        <f t="shared" si="6"/>
        <v>0</v>
      </c>
      <c r="I189" s="4">
        <f t="shared" si="7"/>
        <v>0</v>
      </c>
      <c r="J189" s="27">
        <f>RDG!I70</f>
        <v>0</v>
      </c>
      <c r="K189" s="27">
        <f>RDG!J70</f>
        <v>0</v>
      </c>
    </row>
    <row r="190" spans="4:11" x14ac:dyDescent="0.2">
      <c r="D190" s="4" t="s">
        <v>794</v>
      </c>
      <c r="E190" s="4">
        <v>2</v>
      </c>
      <c r="F190" s="4">
        <f>RDG!G71</f>
        <v>189</v>
      </c>
      <c r="G190" s="4" t="str">
        <f>IF(RDG!H71=0,"",RDG!H71)</f>
        <v/>
      </c>
      <c r="H190" s="26">
        <f t="shared" si="6"/>
        <v>0</v>
      </c>
      <c r="I190" s="4">
        <f t="shared" si="7"/>
        <v>0</v>
      </c>
      <c r="J190" s="27">
        <f>RDG!I71</f>
        <v>0</v>
      </c>
      <c r="K190" s="27">
        <f>RDG!J71</f>
        <v>0</v>
      </c>
    </row>
    <row r="191" spans="4:11" x14ac:dyDescent="0.2">
      <c r="D191" s="4" t="s">
        <v>794</v>
      </c>
      <c r="E191" s="4">
        <v>2</v>
      </c>
      <c r="F191" s="4">
        <f>RDG!G72</f>
        <v>190</v>
      </c>
      <c r="G191" s="4" t="str">
        <f>IF(RDG!H72=0,"",RDG!H72)</f>
        <v/>
      </c>
      <c r="H191" s="26">
        <f t="shared" si="6"/>
        <v>0</v>
      </c>
      <c r="I191" s="4">
        <f t="shared" si="7"/>
        <v>0</v>
      </c>
      <c r="J191" s="27">
        <f>RDG!I72</f>
        <v>0</v>
      </c>
      <c r="K191" s="27">
        <f>RDG!J72</f>
        <v>0</v>
      </c>
    </row>
    <row r="192" spans="4:11" x14ac:dyDescent="0.2">
      <c r="D192" s="4" t="s">
        <v>794</v>
      </c>
      <c r="E192" s="4">
        <v>2</v>
      </c>
      <c r="F192" s="4">
        <f>RDG!G73</f>
        <v>191</v>
      </c>
      <c r="G192" s="4" t="str">
        <f>IF(RDG!H73=0,"",RDG!H73)</f>
        <v/>
      </c>
      <c r="H192" s="26">
        <f t="shared" si="6"/>
        <v>0</v>
      </c>
      <c r="I192" s="4">
        <f t="shared" si="7"/>
        <v>0</v>
      </c>
      <c r="J192" s="27">
        <f>RDG!I73</f>
        <v>0</v>
      </c>
      <c r="K192" s="27">
        <f>RDG!J73</f>
        <v>0</v>
      </c>
    </row>
    <row r="193" spans="4:11" x14ac:dyDescent="0.2">
      <c r="D193" s="4" t="s">
        <v>794</v>
      </c>
      <c r="E193" s="4">
        <v>2</v>
      </c>
      <c r="F193" s="4">
        <f>RDG!G74</f>
        <v>192</v>
      </c>
      <c r="G193" s="4" t="str">
        <f>IF(RDG!H74=0,"",RDG!H74)</f>
        <v/>
      </c>
      <c r="H193" s="26">
        <f t="shared" ref="H193:H228" si="8">J193/100*F193+2*K193/100*F193</f>
        <v>0</v>
      </c>
      <c r="I193" s="4">
        <f t="shared" ref="I193:I228" si="9">ABS(ROUND(J193,0)-J193)+ABS(ROUND(K193,0)-K193)</f>
        <v>0</v>
      </c>
      <c r="J193" s="27">
        <f>RDG!I74</f>
        <v>0</v>
      </c>
      <c r="K193" s="27">
        <f>RDG!J74</f>
        <v>0</v>
      </c>
    </row>
    <row r="194" spans="4:11" x14ac:dyDescent="0.2">
      <c r="D194" s="4" t="s">
        <v>794</v>
      </c>
      <c r="E194" s="4">
        <v>2</v>
      </c>
      <c r="F194" s="4">
        <f>RDG!G75</f>
        <v>193</v>
      </c>
      <c r="G194" s="4" t="str">
        <f>IF(RDG!H75=0,"",RDG!H75)</f>
        <v/>
      </c>
      <c r="H194" s="26">
        <f t="shared" si="8"/>
        <v>0</v>
      </c>
      <c r="I194" s="4">
        <f t="shared" si="9"/>
        <v>0</v>
      </c>
      <c r="J194" s="27">
        <f>RDG!I75</f>
        <v>0</v>
      </c>
      <c r="K194" s="27">
        <f>RDG!J75</f>
        <v>0</v>
      </c>
    </row>
    <row r="195" spans="4:11" x14ac:dyDescent="0.2">
      <c r="D195" s="4" t="s">
        <v>794</v>
      </c>
      <c r="E195" s="4">
        <v>2</v>
      </c>
      <c r="F195" s="4">
        <f>RDG!G77</f>
        <v>194</v>
      </c>
      <c r="G195" s="4" t="str">
        <f>IF(RDG!H77=0,"",RDG!H77)</f>
        <v/>
      </c>
      <c r="H195" s="26">
        <f t="shared" si="8"/>
        <v>0</v>
      </c>
      <c r="I195" s="4">
        <f t="shared" si="9"/>
        <v>0</v>
      </c>
      <c r="J195" s="27">
        <f>RDG!I77</f>
        <v>0</v>
      </c>
      <c r="K195" s="27">
        <f>RDG!J77</f>
        <v>0</v>
      </c>
    </row>
    <row r="196" spans="4:11" x14ac:dyDescent="0.2">
      <c r="D196" s="4" t="s">
        <v>794</v>
      </c>
      <c r="E196" s="4">
        <v>2</v>
      </c>
      <c r="F196" s="4">
        <f>RDG!G78</f>
        <v>195</v>
      </c>
      <c r="G196" s="4" t="str">
        <f>IF(RDG!H78=0,"",RDG!H78)</f>
        <v/>
      </c>
      <c r="H196" s="26">
        <f t="shared" si="8"/>
        <v>0</v>
      </c>
      <c r="I196" s="4">
        <f t="shared" si="9"/>
        <v>0</v>
      </c>
      <c r="J196" s="27">
        <f>RDG!I78</f>
        <v>0</v>
      </c>
      <c r="K196" s="27">
        <f>RDG!J78</f>
        <v>0</v>
      </c>
    </row>
    <row r="197" spans="4:11" x14ac:dyDescent="0.2">
      <c r="D197" s="4" t="s">
        <v>794</v>
      </c>
      <c r="E197" s="4">
        <v>2</v>
      </c>
      <c r="F197" s="4">
        <f>RDG!G79</f>
        <v>196</v>
      </c>
      <c r="G197" s="4" t="str">
        <f>IF(RDG!H79=0,"",RDG!H79)</f>
        <v/>
      </c>
      <c r="H197" s="26">
        <f t="shared" si="8"/>
        <v>0</v>
      </c>
      <c r="I197" s="4">
        <f t="shared" si="9"/>
        <v>0</v>
      </c>
      <c r="J197" s="27">
        <f>RDG!I79</f>
        <v>0</v>
      </c>
      <c r="K197" s="27">
        <f>RDG!J79</f>
        <v>0</v>
      </c>
    </row>
    <row r="198" spans="4:11" x14ac:dyDescent="0.2">
      <c r="D198" s="4" t="s">
        <v>794</v>
      </c>
      <c r="E198" s="4">
        <v>2</v>
      </c>
      <c r="F198" s="4">
        <f>RDG!G80</f>
        <v>197</v>
      </c>
      <c r="G198" s="4" t="str">
        <f>IF(RDG!H80=0,"",RDG!H80)</f>
        <v/>
      </c>
      <c r="H198" s="26">
        <f t="shared" si="8"/>
        <v>0</v>
      </c>
      <c r="I198" s="4">
        <f t="shared" si="9"/>
        <v>0</v>
      </c>
      <c r="J198" s="27">
        <f>RDG!I80</f>
        <v>0</v>
      </c>
      <c r="K198" s="27">
        <f>RDG!J80</f>
        <v>0</v>
      </c>
    </row>
    <row r="199" spans="4:11" x14ac:dyDescent="0.2">
      <c r="D199" s="4" t="s">
        <v>794</v>
      </c>
      <c r="E199" s="4">
        <v>2</v>
      </c>
      <c r="F199" s="4">
        <f>RDG!G81</f>
        <v>198</v>
      </c>
      <c r="G199" s="4" t="str">
        <f>IF(RDG!H81=0,"",RDG!H81)</f>
        <v/>
      </c>
      <c r="H199" s="26">
        <f t="shared" si="8"/>
        <v>0</v>
      </c>
      <c r="I199" s="4">
        <f t="shared" si="9"/>
        <v>0</v>
      </c>
      <c r="J199" s="27">
        <f>RDG!I81</f>
        <v>0</v>
      </c>
      <c r="K199" s="27">
        <f>RDG!J81</f>
        <v>0</v>
      </c>
    </row>
    <row r="200" spans="4:11" x14ac:dyDescent="0.2">
      <c r="D200" s="4" t="s">
        <v>794</v>
      </c>
      <c r="E200" s="4">
        <v>2</v>
      </c>
      <c r="F200" s="4">
        <f>RDG!G82</f>
        <v>199</v>
      </c>
      <c r="G200" s="4" t="str">
        <f>IF(RDG!H82=0,"",RDG!H82)</f>
        <v/>
      </c>
      <c r="H200" s="26">
        <f t="shared" si="8"/>
        <v>0</v>
      </c>
      <c r="I200" s="4">
        <f t="shared" si="9"/>
        <v>0</v>
      </c>
      <c r="J200" s="27">
        <f>RDG!I82</f>
        <v>0</v>
      </c>
      <c r="K200" s="27">
        <f>RDG!J82</f>
        <v>0</v>
      </c>
    </row>
    <row r="201" spans="4:11" x14ac:dyDescent="0.2">
      <c r="D201" s="4" t="s">
        <v>794</v>
      </c>
      <c r="E201" s="4">
        <v>2</v>
      </c>
      <c r="F201" s="4">
        <f>RDG!G83</f>
        <v>200</v>
      </c>
      <c r="G201" s="4" t="str">
        <f>IF(RDG!H83=0,"",RDG!H83)</f>
        <v/>
      </c>
      <c r="H201" s="26">
        <f t="shared" si="8"/>
        <v>0</v>
      </c>
      <c r="I201" s="4">
        <f t="shared" si="9"/>
        <v>0</v>
      </c>
      <c r="J201" s="27">
        <f>RDG!I83</f>
        <v>0</v>
      </c>
      <c r="K201" s="27">
        <f>RDG!J83</f>
        <v>0</v>
      </c>
    </row>
    <row r="202" spans="4:11" x14ac:dyDescent="0.2">
      <c r="D202" s="4" t="s">
        <v>794</v>
      </c>
      <c r="E202" s="4">
        <v>2</v>
      </c>
      <c r="F202" s="4">
        <f>RDG!G85</f>
        <v>201</v>
      </c>
      <c r="G202" s="4" t="str">
        <f>IF(RDG!H85=0,"",RDG!H85)</f>
        <v/>
      </c>
      <c r="H202" s="26">
        <f t="shared" si="8"/>
        <v>0</v>
      </c>
      <c r="I202" s="4">
        <f t="shared" si="9"/>
        <v>0</v>
      </c>
      <c r="J202" s="27">
        <f>RDG!I85</f>
        <v>0</v>
      </c>
      <c r="K202" s="27">
        <f>RDG!J85</f>
        <v>0</v>
      </c>
    </row>
    <row r="203" spans="4:11" x14ac:dyDescent="0.2">
      <c r="D203" s="4" t="s">
        <v>794</v>
      </c>
      <c r="E203" s="4">
        <v>2</v>
      </c>
      <c r="F203" s="4">
        <f>RDG!G86</f>
        <v>202</v>
      </c>
      <c r="G203" s="4" t="str">
        <f>IF(RDG!H86=0,"",RDG!H86)</f>
        <v/>
      </c>
      <c r="H203" s="26">
        <f t="shared" si="8"/>
        <v>0</v>
      </c>
      <c r="I203" s="4">
        <f t="shared" si="9"/>
        <v>0</v>
      </c>
      <c r="J203" s="27">
        <f>RDG!I86</f>
        <v>0</v>
      </c>
      <c r="K203" s="27">
        <f>RDG!J86</f>
        <v>0</v>
      </c>
    </row>
    <row r="204" spans="4:11" x14ac:dyDescent="0.2">
      <c r="D204" s="4" t="s">
        <v>794</v>
      </c>
      <c r="E204" s="4">
        <v>2</v>
      </c>
      <c r="F204" s="4">
        <f>RDG!G87</f>
        <v>203</v>
      </c>
      <c r="G204" s="4" t="str">
        <f>IF(RDG!H87=0,"",RDG!H87)</f>
        <v/>
      </c>
      <c r="H204" s="26">
        <f t="shared" si="8"/>
        <v>0</v>
      </c>
      <c r="I204" s="4">
        <f t="shared" si="9"/>
        <v>0</v>
      </c>
      <c r="J204" s="27">
        <f>RDG!I87</f>
        <v>0</v>
      </c>
      <c r="K204" s="27">
        <f>RDG!J87</f>
        <v>0</v>
      </c>
    </row>
    <row r="205" spans="4:11" x14ac:dyDescent="0.2">
      <c r="D205" s="4" t="s">
        <v>794</v>
      </c>
      <c r="E205" s="4">
        <v>2</v>
      </c>
      <c r="F205" s="4">
        <f>RDG!G89</f>
        <v>204</v>
      </c>
      <c r="G205" s="4" t="str">
        <f>IF(RDG!H89=0,"",RDG!H89)</f>
        <v/>
      </c>
      <c r="H205" s="26">
        <f t="shared" si="8"/>
        <v>0</v>
      </c>
      <c r="I205" s="4">
        <f t="shared" si="9"/>
        <v>0</v>
      </c>
      <c r="J205" s="27">
        <f>RDG!I89</f>
        <v>0</v>
      </c>
      <c r="K205" s="27">
        <f>RDG!J89</f>
        <v>0</v>
      </c>
    </row>
    <row r="206" spans="4:11" x14ac:dyDescent="0.2">
      <c r="D206" s="4" t="s">
        <v>794</v>
      </c>
      <c r="E206" s="4">
        <v>2</v>
      </c>
      <c r="F206" s="4">
        <f>RDG!G90</f>
        <v>205</v>
      </c>
      <c r="G206" s="4" t="str">
        <f>IF(RDG!H90=0,"",RDG!H90)</f>
        <v/>
      </c>
      <c r="H206" s="26">
        <f t="shared" si="8"/>
        <v>0</v>
      </c>
      <c r="I206" s="4">
        <f t="shared" si="9"/>
        <v>0</v>
      </c>
      <c r="J206" s="27">
        <f>RDG!I90</f>
        <v>0</v>
      </c>
      <c r="K206" s="27">
        <f>RDG!J90</f>
        <v>0</v>
      </c>
    </row>
    <row r="207" spans="4:11" x14ac:dyDescent="0.2">
      <c r="D207" s="4" t="s">
        <v>794</v>
      </c>
      <c r="E207" s="4">
        <v>2</v>
      </c>
      <c r="F207" s="4">
        <f>RDG!G91</f>
        <v>206</v>
      </c>
      <c r="G207" s="4" t="str">
        <f>IF(RDG!H91=0,"",RDG!H91)</f>
        <v/>
      </c>
      <c r="H207" s="26">
        <f t="shared" si="8"/>
        <v>0</v>
      </c>
      <c r="I207" s="4">
        <f t="shared" si="9"/>
        <v>0</v>
      </c>
      <c r="J207" s="27">
        <f>RDG!I91</f>
        <v>0</v>
      </c>
      <c r="K207" s="27">
        <f>RDG!J91</f>
        <v>0</v>
      </c>
    </row>
    <row r="208" spans="4:11" x14ac:dyDescent="0.2">
      <c r="D208" s="4" t="s">
        <v>794</v>
      </c>
      <c r="E208" s="4">
        <v>2</v>
      </c>
      <c r="F208" s="4">
        <f>RDG!G92</f>
        <v>207</v>
      </c>
      <c r="G208" s="4" t="str">
        <f>IF(RDG!H92=0,"",RDG!H92)</f>
        <v/>
      </c>
      <c r="H208" s="26">
        <f t="shared" si="8"/>
        <v>0</v>
      </c>
      <c r="I208" s="4">
        <f t="shared" si="9"/>
        <v>0</v>
      </c>
      <c r="J208" s="27">
        <f>RDG!I92</f>
        <v>0</v>
      </c>
      <c r="K208" s="27">
        <f>RDG!J92</f>
        <v>0</v>
      </c>
    </row>
    <row r="209" spans="4:11" x14ac:dyDescent="0.2">
      <c r="D209" s="4" t="s">
        <v>794</v>
      </c>
      <c r="E209" s="4">
        <v>2</v>
      </c>
      <c r="F209" s="4">
        <f>RDG!G93</f>
        <v>208</v>
      </c>
      <c r="G209" s="4" t="str">
        <f>IF(RDG!H93=0,"",RDG!H93)</f>
        <v/>
      </c>
      <c r="H209" s="26">
        <f t="shared" si="8"/>
        <v>0</v>
      </c>
      <c r="I209" s="4">
        <f t="shared" si="9"/>
        <v>0</v>
      </c>
      <c r="J209" s="27">
        <f>RDG!I93</f>
        <v>0</v>
      </c>
      <c r="K209" s="27">
        <f>RDG!J93</f>
        <v>0</v>
      </c>
    </row>
    <row r="210" spans="4:11" x14ac:dyDescent="0.2">
      <c r="D210" s="4" t="s">
        <v>794</v>
      </c>
      <c r="E210" s="4">
        <v>2</v>
      </c>
      <c r="F210" s="4">
        <f>RDG!G94</f>
        <v>209</v>
      </c>
      <c r="G210" s="4" t="str">
        <f>IF(RDG!H94=0,"",RDG!H94)</f>
        <v/>
      </c>
      <c r="H210" s="26">
        <f t="shared" ref="H210:H223" si="10">J210/100*F210+2*K210/100*F210</f>
        <v>0</v>
      </c>
      <c r="I210" s="4">
        <f t="shared" ref="I210:I223" si="11">ABS(ROUND(J210,0)-J210)+ABS(ROUND(K210,0)-K210)</f>
        <v>0</v>
      </c>
      <c r="J210" s="27">
        <f>RDG!I94</f>
        <v>0</v>
      </c>
      <c r="K210" s="27">
        <f>RDG!J94</f>
        <v>0</v>
      </c>
    </row>
    <row r="211" spans="4:11" x14ac:dyDescent="0.2">
      <c r="D211" s="4" t="s">
        <v>794</v>
      </c>
      <c r="E211" s="4">
        <v>2</v>
      </c>
      <c r="F211" s="4">
        <f>RDG!G95</f>
        <v>210</v>
      </c>
      <c r="G211" s="4" t="str">
        <f>IF(RDG!H95=0,"",RDG!H95)</f>
        <v/>
      </c>
      <c r="H211" s="26">
        <f t="shared" si="10"/>
        <v>0</v>
      </c>
      <c r="I211" s="4">
        <f t="shared" si="11"/>
        <v>0</v>
      </c>
      <c r="J211" s="27">
        <f>RDG!I95</f>
        <v>0</v>
      </c>
      <c r="K211" s="27">
        <f>RDG!J95</f>
        <v>0</v>
      </c>
    </row>
    <row r="212" spans="4:11" x14ac:dyDescent="0.2">
      <c r="D212" s="4" t="s">
        <v>794</v>
      </c>
      <c r="E212" s="4">
        <v>2</v>
      </c>
      <c r="F212" s="4">
        <f>RDG!G96</f>
        <v>211</v>
      </c>
      <c r="G212" s="4" t="str">
        <f>IF(RDG!H96=0,"",RDG!H96)</f>
        <v/>
      </c>
      <c r="H212" s="26">
        <f t="shared" si="10"/>
        <v>0</v>
      </c>
      <c r="I212" s="4">
        <f t="shared" si="11"/>
        <v>0</v>
      </c>
      <c r="J212" s="27">
        <f>RDG!I96</f>
        <v>0</v>
      </c>
      <c r="K212" s="27">
        <f>RDG!J96</f>
        <v>0</v>
      </c>
    </row>
    <row r="213" spans="4:11" x14ac:dyDescent="0.2">
      <c r="D213" s="4" t="s">
        <v>794</v>
      </c>
      <c r="E213" s="4">
        <v>2</v>
      </c>
      <c r="F213" s="4">
        <f>RDG!G97</f>
        <v>212</v>
      </c>
      <c r="G213" s="4" t="str">
        <f>IF(RDG!H97=0,"",RDG!H97)</f>
        <v/>
      </c>
      <c r="H213" s="26">
        <f t="shared" si="10"/>
        <v>0</v>
      </c>
      <c r="I213" s="4">
        <f t="shared" si="11"/>
        <v>0</v>
      </c>
      <c r="J213" s="27">
        <f>RDG!I97</f>
        <v>0</v>
      </c>
      <c r="K213" s="27">
        <f>RDG!J97</f>
        <v>0</v>
      </c>
    </row>
    <row r="214" spans="4:11" x14ac:dyDescent="0.2">
      <c r="D214" s="4" t="s">
        <v>794</v>
      </c>
      <c r="E214" s="4">
        <v>2</v>
      </c>
      <c r="F214" s="4">
        <f>RDG!G98</f>
        <v>213</v>
      </c>
      <c r="G214" s="4" t="str">
        <f>IF(RDG!H98=0,"",RDG!H98)</f>
        <v/>
      </c>
      <c r="H214" s="26">
        <f t="shared" si="10"/>
        <v>0</v>
      </c>
      <c r="I214" s="4">
        <f t="shared" si="11"/>
        <v>0</v>
      </c>
      <c r="J214" s="27">
        <f>RDG!I98</f>
        <v>0</v>
      </c>
      <c r="K214" s="27">
        <f>RDG!J98</f>
        <v>0</v>
      </c>
    </row>
    <row r="215" spans="4:11" x14ac:dyDescent="0.2">
      <c r="D215" s="4" t="s">
        <v>794</v>
      </c>
      <c r="E215" s="4">
        <v>2</v>
      </c>
      <c r="F215" s="4">
        <f>RDG!G99</f>
        <v>214</v>
      </c>
      <c r="G215" s="4" t="str">
        <f>IF(RDG!H99=0,"",RDG!H99)</f>
        <v/>
      </c>
      <c r="H215" s="26">
        <f t="shared" si="10"/>
        <v>0</v>
      </c>
      <c r="I215" s="4">
        <f t="shared" si="11"/>
        <v>0</v>
      </c>
      <c r="J215" s="27">
        <f>RDG!I99</f>
        <v>0</v>
      </c>
      <c r="K215" s="27">
        <f>RDG!J99</f>
        <v>0</v>
      </c>
    </row>
    <row r="216" spans="4:11" x14ac:dyDescent="0.2">
      <c r="D216" s="4" t="s">
        <v>794</v>
      </c>
      <c r="E216" s="4">
        <v>2</v>
      </c>
      <c r="F216" s="4">
        <f>RDG!G100</f>
        <v>215</v>
      </c>
      <c r="G216" s="4" t="str">
        <f>IF(RDG!H100=0,"",RDG!H100)</f>
        <v/>
      </c>
      <c r="H216" s="26">
        <f t="shared" si="10"/>
        <v>0</v>
      </c>
      <c r="I216" s="4">
        <f t="shared" si="11"/>
        <v>0</v>
      </c>
      <c r="J216" s="27">
        <f>RDG!I100</f>
        <v>0</v>
      </c>
      <c r="K216" s="27">
        <f>RDG!J100</f>
        <v>0</v>
      </c>
    </row>
    <row r="217" spans="4:11" x14ac:dyDescent="0.2">
      <c r="D217" s="4" t="s">
        <v>794</v>
      </c>
      <c r="E217" s="4">
        <v>2</v>
      </c>
      <c r="F217" s="4">
        <f>RDG!G101</f>
        <v>216</v>
      </c>
      <c r="G217" s="4" t="str">
        <f>IF(RDG!H101=0,"",RDG!H101)</f>
        <v/>
      </c>
      <c r="H217" s="26">
        <f t="shared" si="10"/>
        <v>0</v>
      </c>
      <c r="I217" s="4">
        <f t="shared" si="11"/>
        <v>0</v>
      </c>
      <c r="J217" s="27">
        <f>RDG!I101</f>
        <v>0</v>
      </c>
      <c r="K217" s="27">
        <f>RDG!J101</f>
        <v>0</v>
      </c>
    </row>
    <row r="218" spans="4:11" x14ac:dyDescent="0.2">
      <c r="D218" s="4" t="s">
        <v>794</v>
      </c>
      <c r="E218" s="4">
        <v>2</v>
      </c>
      <c r="F218" s="4">
        <f>RDG!G102</f>
        <v>217</v>
      </c>
      <c r="G218" s="4" t="str">
        <f>IF(RDG!H102=0,"",RDG!H102)</f>
        <v/>
      </c>
      <c r="H218" s="26">
        <f t="shared" si="10"/>
        <v>0</v>
      </c>
      <c r="I218" s="4">
        <f t="shared" si="11"/>
        <v>0</v>
      </c>
      <c r="J218" s="27">
        <f>RDG!I102</f>
        <v>0</v>
      </c>
      <c r="K218" s="27">
        <f>RDG!J102</f>
        <v>0</v>
      </c>
    </row>
    <row r="219" spans="4:11" x14ac:dyDescent="0.2">
      <c r="D219" s="4" t="s">
        <v>794</v>
      </c>
      <c r="E219" s="4">
        <v>2</v>
      </c>
      <c r="F219" s="4">
        <f>RDG!G103</f>
        <v>218</v>
      </c>
      <c r="G219" s="4" t="str">
        <f>IF(RDG!H103=0,"",RDG!H103)</f>
        <v/>
      </c>
      <c r="H219" s="26">
        <f t="shared" si="10"/>
        <v>0</v>
      </c>
      <c r="I219" s="4">
        <f t="shared" si="11"/>
        <v>0</v>
      </c>
      <c r="J219" s="27">
        <f>RDG!I103</f>
        <v>0</v>
      </c>
      <c r="K219" s="27">
        <f>RDG!J103</f>
        <v>0</v>
      </c>
    </row>
    <row r="220" spans="4:11" x14ac:dyDescent="0.2">
      <c r="D220" s="4" t="s">
        <v>794</v>
      </c>
      <c r="E220" s="4">
        <v>2</v>
      </c>
      <c r="F220" s="4">
        <f>RDG!G104</f>
        <v>219</v>
      </c>
      <c r="G220" s="4" t="str">
        <f>IF(RDG!H104=0,"",RDG!H104)</f>
        <v/>
      </c>
      <c r="H220" s="26">
        <f t="shared" si="10"/>
        <v>0</v>
      </c>
      <c r="I220" s="4">
        <f t="shared" si="11"/>
        <v>0</v>
      </c>
      <c r="J220" s="27">
        <f>RDG!I104</f>
        <v>0</v>
      </c>
      <c r="K220" s="27">
        <f>RDG!J104</f>
        <v>0</v>
      </c>
    </row>
    <row r="221" spans="4:11" x14ac:dyDescent="0.2">
      <c r="D221" s="4" t="s">
        <v>794</v>
      </c>
      <c r="E221" s="4">
        <v>2</v>
      </c>
      <c r="F221" s="4">
        <f>RDG!G105</f>
        <v>220</v>
      </c>
      <c r="G221" s="4" t="str">
        <f>IF(RDG!H105=0,"",RDG!H105)</f>
        <v/>
      </c>
      <c r="H221" s="26">
        <f t="shared" si="10"/>
        <v>0</v>
      </c>
      <c r="I221" s="4">
        <f t="shared" si="11"/>
        <v>0</v>
      </c>
      <c r="J221" s="27">
        <f>RDG!I105</f>
        <v>0</v>
      </c>
      <c r="K221" s="27">
        <f>RDG!J105</f>
        <v>0</v>
      </c>
    </row>
    <row r="222" spans="4:11" x14ac:dyDescent="0.2">
      <c r="D222" s="4" t="s">
        <v>794</v>
      </c>
      <c r="E222" s="4">
        <v>2</v>
      </c>
      <c r="F222" s="4">
        <f>RDG!G106</f>
        <v>221</v>
      </c>
      <c r="G222" s="4" t="str">
        <f>IF(RDG!H106=0,"",RDG!H106)</f>
        <v/>
      </c>
      <c r="H222" s="26">
        <f t="shared" si="10"/>
        <v>0</v>
      </c>
      <c r="I222" s="4">
        <f t="shared" si="11"/>
        <v>0</v>
      </c>
      <c r="J222" s="27">
        <f>RDG!I106</f>
        <v>0</v>
      </c>
      <c r="K222" s="27">
        <f>RDG!J106</f>
        <v>0</v>
      </c>
    </row>
    <row r="223" spans="4:11" x14ac:dyDescent="0.2">
      <c r="D223" s="4" t="s">
        <v>794</v>
      </c>
      <c r="E223" s="4">
        <v>2</v>
      </c>
      <c r="F223" s="4">
        <f>RDG!G107</f>
        <v>222</v>
      </c>
      <c r="G223" s="4" t="str">
        <f>IF(RDG!H107=0,"",RDG!H107)</f>
        <v/>
      </c>
      <c r="H223" s="26">
        <f t="shared" si="10"/>
        <v>0</v>
      </c>
      <c r="I223" s="4">
        <f t="shared" si="11"/>
        <v>0</v>
      </c>
      <c r="J223" s="27">
        <f>RDG!I107</f>
        <v>0</v>
      </c>
      <c r="K223" s="27">
        <f>RDG!J107</f>
        <v>0</v>
      </c>
    </row>
    <row r="224" spans="4:11" x14ac:dyDescent="0.2">
      <c r="D224" s="4" t="s">
        <v>794</v>
      </c>
      <c r="E224" s="4">
        <v>2</v>
      </c>
      <c r="F224" s="4">
        <f>RDG!G108</f>
        <v>223</v>
      </c>
      <c r="G224" s="4" t="str">
        <f>IF(RDG!H108=0,"",RDG!H108)</f>
        <v/>
      </c>
      <c r="H224" s="26">
        <f t="shared" si="8"/>
        <v>0</v>
      </c>
      <c r="I224" s="4">
        <f t="shared" si="9"/>
        <v>0</v>
      </c>
      <c r="J224" s="27">
        <f>RDG!I108</f>
        <v>0</v>
      </c>
      <c r="K224" s="27">
        <f>RDG!J108</f>
        <v>0</v>
      </c>
    </row>
    <row r="225" spans="4:11" x14ac:dyDescent="0.2">
      <c r="D225" s="4" t="s">
        <v>794</v>
      </c>
      <c r="E225" s="4">
        <v>2</v>
      </c>
      <c r="F225" s="4">
        <f>RDG!G109</f>
        <v>224</v>
      </c>
      <c r="G225" s="4" t="str">
        <f>IF(RDG!H109=0,"",RDG!H109)</f>
        <v/>
      </c>
      <c r="H225" s="26">
        <f t="shared" si="8"/>
        <v>0</v>
      </c>
      <c r="I225" s="4">
        <f t="shared" si="9"/>
        <v>0</v>
      </c>
      <c r="J225" s="27">
        <f>RDG!I109</f>
        <v>0</v>
      </c>
      <c r="K225" s="27">
        <f>RDG!J109</f>
        <v>0</v>
      </c>
    </row>
    <row r="226" spans="4:11" x14ac:dyDescent="0.2">
      <c r="D226" s="4" t="s">
        <v>794</v>
      </c>
      <c r="E226" s="4">
        <v>2</v>
      </c>
      <c r="F226" s="4">
        <f>RDG!G111</f>
        <v>225</v>
      </c>
      <c r="G226" s="4" t="str">
        <f>IF(RDG!H111=0,"",RDG!H111)</f>
        <v/>
      </c>
      <c r="H226" s="26">
        <f t="shared" si="8"/>
        <v>0</v>
      </c>
      <c r="I226" s="4">
        <f t="shared" si="9"/>
        <v>0</v>
      </c>
      <c r="J226" s="27">
        <f>RDG!I111</f>
        <v>0</v>
      </c>
      <c r="K226" s="27">
        <f>RDG!J111</f>
        <v>0</v>
      </c>
    </row>
    <row r="227" spans="4:11" x14ac:dyDescent="0.2">
      <c r="D227" s="4" t="s">
        <v>794</v>
      </c>
      <c r="E227" s="4">
        <v>2</v>
      </c>
      <c r="F227" s="4">
        <f>RDG!G112</f>
        <v>226</v>
      </c>
      <c r="G227" s="4" t="str">
        <f>IF(RDG!H112=0,"",RDG!H112)</f>
        <v/>
      </c>
      <c r="H227" s="26">
        <f t="shared" si="8"/>
        <v>0</v>
      </c>
      <c r="I227" s="4">
        <f t="shared" si="9"/>
        <v>0</v>
      </c>
      <c r="J227" s="27">
        <f>RDG!I112</f>
        <v>0</v>
      </c>
      <c r="K227" s="27">
        <f>RDG!J112</f>
        <v>0</v>
      </c>
    </row>
    <row r="228" spans="4:11" x14ac:dyDescent="0.2">
      <c r="D228" s="4" t="s">
        <v>794</v>
      </c>
      <c r="E228" s="4">
        <v>2</v>
      </c>
      <c r="F228" s="4">
        <f>RDG!G113</f>
        <v>227</v>
      </c>
      <c r="G228" s="4" t="str">
        <f>IF(RDG!H113=0,"",RDG!H113)</f>
        <v/>
      </c>
      <c r="H228" s="26">
        <f t="shared" si="8"/>
        <v>0</v>
      </c>
      <c r="I228" s="4">
        <f t="shared" si="9"/>
        <v>0</v>
      </c>
      <c r="J228" s="27">
        <f>RDG!I113</f>
        <v>0</v>
      </c>
      <c r="K228" s="27">
        <f>RDG!J113</f>
        <v>0</v>
      </c>
    </row>
    <row r="229" spans="4:11" x14ac:dyDescent="0.2">
      <c r="D229" s="4" t="s">
        <v>555</v>
      </c>
      <c r="E229" s="4">
        <v>3</v>
      </c>
      <c r="F229" s="4">
        <f>Dodatni!H9</f>
        <v>228</v>
      </c>
      <c r="H229" s="26">
        <f>J229/100*F229+2*K229/100*F229</f>
        <v>0</v>
      </c>
      <c r="I229" s="4">
        <f>ABS(ROUND(J229,0)-J229)+ABS(ROUND(K229,0)-K229)</f>
        <v>0</v>
      </c>
      <c r="J229" s="27">
        <f>Dodatni!I9</f>
        <v>0</v>
      </c>
      <c r="K229" s="27">
        <f>Dodatni!J9</f>
        <v>0</v>
      </c>
    </row>
    <row r="230" spans="4:11" x14ac:dyDescent="0.2">
      <c r="D230" s="4" t="s">
        <v>555</v>
      </c>
      <c r="E230" s="4">
        <v>3</v>
      </c>
      <c r="F230" s="4">
        <f>Dodatni!H10</f>
        <v>229</v>
      </c>
      <c r="H230" s="26">
        <f>J230/100*F230+2*K230/100*F230</f>
        <v>0</v>
      </c>
      <c r="I230" s="4">
        <f>ABS(ROUND(J230,0)-J230)+ABS(ROUND(K230,0)-K230)</f>
        <v>0</v>
      </c>
      <c r="J230" s="27">
        <f>Dodatni!I10</f>
        <v>0</v>
      </c>
      <c r="K230" s="27">
        <f>Dodatni!J10</f>
        <v>0</v>
      </c>
    </row>
    <row r="231" spans="4:11" x14ac:dyDescent="0.2">
      <c r="D231" s="4" t="s">
        <v>555</v>
      </c>
      <c r="E231" s="4">
        <v>3</v>
      </c>
      <c r="F231" s="4">
        <f>Dodatni!H11</f>
        <v>230</v>
      </c>
      <c r="H231" s="26">
        <f t="shared" ref="H231:H284" si="12">J231/100*F231+2*K231/100*F231</f>
        <v>0</v>
      </c>
      <c r="I231" s="4">
        <f t="shared" ref="I231:I284" si="13">ABS(ROUND(J231,0)-J231)+ABS(ROUND(K231,0)-K231)</f>
        <v>0</v>
      </c>
      <c r="J231" s="27">
        <f>Dodatni!I11</f>
        <v>0</v>
      </c>
      <c r="K231" s="27">
        <f>Dodatni!J11</f>
        <v>0</v>
      </c>
    </row>
    <row r="232" spans="4:11" x14ac:dyDescent="0.2">
      <c r="D232" s="4" t="s">
        <v>555</v>
      </c>
      <c r="E232" s="4">
        <v>3</v>
      </c>
      <c r="F232" s="4">
        <f>Dodatni!H12</f>
        <v>231</v>
      </c>
      <c r="H232" s="26">
        <f t="shared" si="12"/>
        <v>0</v>
      </c>
      <c r="I232" s="4">
        <f t="shared" si="13"/>
        <v>0</v>
      </c>
      <c r="J232" s="27">
        <f>Dodatni!I12</f>
        <v>0</v>
      </c>
      <c r="K232" s="27">
        <f>Dodatni!J12</f>
        <v>0</v>
      </c>
    </row>
    <row r="233" spans="4:11" x14ac:dyDescent="0.2">
      <c r="D233" s="4" t="s">
        <v>555</v>
      </c>
      <c r="E233" s="4">
        <v>3</v>
      </c>
      <c r="F233" s="4">
        <f>Dodatni!H13</f>
        <v>232</v>
      </c>
      <c r="H233" s="26">
        <f t="shared" si="12"/>
        <v>0</v>
      </c>
      <c r="I233" s="4">
        <f t="shared" si="13"/>
        <v>0</v>
      </c>
      <c r="J233" s="27">
        <f>Dodatni!I13</f>
        <v>0</v>
      </c>
      <c r="K233" s="27">
        <f>Dodatni!J13</f>
        <v>0</v>
      </c>
    </row>
    <row r="234" spans="4:11" x14ac:dyDescent="0.2">
      <c r="D234" s="4" t="s">
        <v>555</v>
      </c>
      <c r="E234" s="4">
        <v>3</v>
      </c>
      <c r="F234" s="4">
        <f>Dodatni!H14</f>
        <v>233</v>
      </c>
      <c r="H234" s="26">
        <f t="shared" si="12"/>
        <v>0</v>
      </c>
      <c r="I234" s="4">
        <f t="shared" si="13"/>
        <v>0</v>
      </c>
      <c r="J234" s="27">
        <f>Dodatni!I14</f>
        <v>0</v>
      </c>
      <c r="K234" s="27">
        <f>Dodatni!J14</f>
        <v>0</v>
      </c>
    </row>
    <row r="235" spans="4:11" x14ac:dyDescent="0.2">
      <c r="D235" s="4" t="s">
        <v>555</v>
      </c>
      <c r="E235" s="4">
        <v>3</v>
      </c>
      <c r="F235" s="4">
        <f>Dodatni!H15</f>
        <v>234</v>
      </c>
      <c r="H235" s="26">
        <f t="shared" si="12"/>
        <v>0</v>
      </c>
      <c r="I235" s="4">
        <f t="shared" si="13"/>
        <v>0</v>
      </c>
      <c r="J235" s="27">
        <f>Dodatni!I15</f>
        <v>0</v>
      </c>
      <c r="K235" s="27">
        <f>Dodatni!J15</f>
        <v>0</v>
      </c>
    </row>
    <row r="236" spans="4:11" x14ac:dyDescent="0.2">
      <c r="D236" s="4" t="s">
        <v>555</v>
      </c>
      <c r="E236" s="4">
        <v>3</v>
      </c>
      <c r="F236" s="4">
        <f>Dodatni!H17</f>
        <v>235</v>
      </c>
      <c r="H236" s="26">
        <f t="shared" si="12"/>
        <v>0</v>
      </c>
      <c r="I236" s="4">
        <f t="shared" si="13"/>
        <v>0</v>
      </c>
      <c r="J236" s="27">
        <f>Dodatni!I17</f>
        <v>0</v>
      </c>
      <c r="K236" s="27">
        <f>Dodatni!J17</f>
        <v>0</v>
      </c>
    </row>
    <row r="237" spans="4:11" x14ac:dyDescent="0.2">
      <c r="D237" s="4" t="s">
        <v>555</v>
      </c>
      <c r="E237" s="4">
        <v>3</v>
      </c>
      <c r="F237" s="4">
        <f>Dodatni!H18</f>
        <v>236</v>
      </c>
      <c r="H237" s="26">
        <f t="shared" si="12"/>
        <v>0</v>
      </c>
      <c r="I237" s="4">
        <f t="shared" si="13"/>
        <v>0</v>
      </c>
      <c r="J237" s="27">
        <f>Dodatni!I18</f>
        <v>0</v>
      </c>
      <c r="K237" s="27">
        <f>Dodatni!J18</f>
        <v>0</v>
      </c>
    </row>
    <row r="238" spans="4:11" x14ac:dyDescent="0.2">
      <c r="D238" s="4" t="s">
        <v>555</v>
      </c>
      <c r="E238" s="4">
        <v>3</v>
      </c>
      <c r="F238" s="4">
        <f>Dodatni!H19</f>
        <v>237</v>
      </c>
      <c r="H238" s="26">
        <f t="shared" si="12"/>
        <v>0</v>
      </c>
      <c r="I238" s="4">
        <f t="shared" si="13"/>
        <v>0</v>
      </c>
      <c r="J238" s="27">
        <f>Dodatni!I19</f>
        <v>0</v>
      </c>
      <c r="K238" s="27">
        <f>Dodatni!J19</f>
        <v>0</v>
      </c>
    </row>
    <row r="239" spans="4:11" x14ac:dyDescent="0.2">
      <c r="D239" s="4" t="s">
        <v>555</v>
      </c>
      <c r="E239" s="4">
        <v>3</v>
      </c>
      <c r="F239" s="4">
        <f>Dodatni!H20</f>
        <v>238</v>
      </c>
      <c r="H239" s="26">
        <f t="shared" si="12"/>
        <v>0</v>
      </c>
      <c r="I239" s="4">
        <f t="shared" si="13"/>
        <v>0</v>
      </c>
      <c r="J239" s="27">
        <f>Dodatni!I20</f>
        <v>0</v>
      </c>
      <c r="K239" s="27">
        <f>Dodatni!J20</f>
        <v>0</v>
      </c>
    </row>
    <row r="240" spans="4:11" x14ac:dyDescent="0.2">
      <c r="D240" s="4" t="s">
        <v>555</v>
      </c>
      <c r="E240" s="4">
        <v>3</v>
      </c>
      <c r="F240" s="4">
        <f>Dodatni!H21</f>
        <v>239</v>
      </c>
      <c r="H240" s="26">
        <f t="shared" si="12"/>
        <v>0</v>
      </c>
      <c r="I240" s="4">
        <f t="shared" si="13"/>
        <v>0</v>
      </c>
      <c r="J240" s="27">
        <f>Dodatni!I21</f>
        <v>0</v>
      </c>
      <c r="K240" s="27">
        <f>Dodatni!J21</f>
        <v>0</v>
      </c>
    </row>
    <row r="241" spans="4:11" x14ac:dyDescent="0.2">
      <c r="D241" s="4" t="s">
        <v>555</v>
      </c>
      <c r="E241" s="4">
        <v>3</v>
      </c>
      <c r="F241" s="4">
        <f>Dodatni!H23</f>
        <v>240</v>
      </c>
      <c r="H241" s="26">
        <f t="shared" si="12"/>
        <v>0</v>
      </c>
      <c r="I241" s="4">
        <f t="shared" si="13"/>
        <v>0</v>
      </c>
      <c r="J241" s="27">
        <f>Dodatni!I23</f>
        <v>0</v>
      </c>
      <c r="K241" s="27">
        <f>Dodatni!J23</f>
        <v>0</v>
      </c>
    </row>
    <row r="242" spans="4:11" x14ac:dyDescent="0.2">
      <c r="D242" s="4" t="s">
        <v>555</v>
      </c>
      <c r="E242" s="4">
        <v>3</v>
      </c>
      <c r="F242" s="4">
        <f>Dodatni!H25</f>
        <v>241</v>
      </c>
      <c r="H242" s="26">
        <f t="shared" si="12"/>
        <v>0</v>
      </c>
      <c r="I242" s="4">
        <f t="shared" si="13"/>
        <v>0</v>
      </c>
      <c r="J242" s="27">
        <f>Dodatni!I25</f>
        <v>0</v>
      </c>
      <c r="K242" s="27">
        <f>Dodatni!J25</f>
        <v>0</v>
      </c>
    </row>
    <row r="243" spans="4:11" x14ac:dyDescent="0.2">
      <c r="D243" s="4" t="s">
        <v>555</v>
      </c>
      <c r="E243" s="4">
        <v>3</v>
      </c>
      <c r="F243" s="4">
        <f>Dodatni!H26</f>
        <v>242</v>
      </c>
      <c r="H243" s="26">
        <f t="shared" si="12"/>
        <v>0</v>
      </c>
      <c r="I243" s="4">
        <f t="shared" si="13"/>
        <v>0</v>
      </c>
      <c r="J243" s="27">
        <f>Dodatni!I26</f>
        <v>0</v>
      </c>
      <c r="K243" s="27">
        <f>Dodatni!J26</f>
        <v>0</v>
      </c>
    </row>
    <row r="244" spans="4:11" x14ac:dyDescent="0.2">
      <c r="D244" s="4" t="s">
        <v>555</v>
      </c>
      <c r="E244" s="4">
        <v>3</v>
      </c>
      <c r="F244" s="4">
        <f>Dodatni!H27</f>
        <v>243</v>
      </c>
      <c r="H244" s="26">
        <f t="shared" si="12"/>
        <v>0</v>
      </c>
      <c r="I244" s="4">
        <f t="shared" si="13"/>
        <v>0</v>
      </c>
      <c r="J244" s="27">
        <f>Dodatni!I27</f>
        <v>0</v>
      </c>
      <c r="K244" s="27">
        <f>Dodatni!J27</f>
        <v>0</v>
      </c>
    </row>
    <row r="245" spans="4:11" x14ac:dyDescent="0.2">
      <c r="D245" s="4" t="s">
        <v>555</v>
      </c>
      <c r="E245" s="4">
        <v>3</v>
      </c>
      <c r="F245" s="4">
        <f>Dodatni!H28</f>
        <v>244</v>
      </c>
      <c r="H245" s="26">
        <f t="shared" si="12"/>
        <v>0</v>
      </c>
      <c r="I245" s="4">
        <f t="shared" si="13"/>
        <v>0</v>
      </c>
      <c r="J245" s="27">
        <f>Dodatni!I28</f>
        <v>0</v>
      </c>
      <c r="K245" s="27">
        <f>Dodatni!J28</f>
        <v>0</v>
      </c>
    </row>
    <row r="246" spans="4:11" x14ac:dyDescent="0.2">
      <c r="D246" s="4" t="s">
        <v>555</v>
      </c>
      <c r="E246" s="4">
        <v>3</v>
      </c>
      <c r="F246" s="4">
        <f>Dodatni!H29</f>
        <v>245</v>
      </c>
      <c r="H246" s="26">
        <f t="shared" si="12"/>
        <v>0</v>
      </c>
      <c r="I246" s="4">
        <f t="shared" si="13"/>
        <v>0</v>
      </c>
      <c r="J246" s="27">
        <f>Dodatni!I29</f>
        <v>0</v>
      </c>
      <c r="K246" s="27">
        <f>Dodatni!J29</f>
        <v>0</v>
      </c>
    </row>
    <row r="247" spans="4:11" x14ac:dyDescent="0.2">
      <c r="D247" s="4" t="s">
        <v>555</v>
      </c>
      <c r="E247" s="4">
        <v>3</v>
      </c>
      <c r="F247" s="4">
        <f>Dodatni!H30</f>
        <v>246</v>
      </c>
      <c r="H247" s="26">
        <f t="shared" si="12"/>
        <v>0</v>
      </c>
      <c r="I247" s="4">
        <f t="shared" si="13"/>
        <v>0</v>
      </c>
      <c r="J247" s="27">
        <f>Dodatni!I30</f>
        <v>0</v>
      </c>
      <c r="K247" s="27">
        <f>Dodatni!J30</f>
        <v>0</v>
      </c>
    </row>
    <row r="248" spans="4:11" x14ac:dyDescent="0.2">
      <c r="D248" s="4" t="s">
        <v>555</v>
      </c>
      <c r="E248" s="4">
        <v>3</v>
      </c>
      <c r="F248" s="4">
        <f>Dodatni!H31</f>
        <v>247</v>
      </c>
      <c r="H248" s="26">
        <f t="shared" si="12"/>
        <v>0</v>
      </c>
      <c r="I248" s="4">
        <f t="shared" si="13"/>
        <v>0</v>
      </c>
      <c r="J248" s="27">
        <f>Dodatni!I31</f>
        <v>0</v>
      </c>
      <c r="K248" s="27">
        <f>Dodatni!J31</f>
        <v>0</v>
      </c>
    </row>
    <row r="249" spans="4:11" x14ac:dyDescent="0.2">
      <c r="D249" s="4" t="s">
        <v>555</v>
      </c>
      <c r="E249" s="4">
        <v>3</v>
      </c>
      <c r="F249" s="4">
        <f>Dodatni!H32</f>
        <v>248</v>
      </c>
      <c r="H249" s="26">
        <f t="shared" si="12"/>
        <v>0</v>
      </c>
      <c r="I249" s="4">
        <f t="shared" si="13"/>
        <v>0</v>
      </c>
      <c r="J249" s="27">
        <f>Dodatni!I32</f>
        <v>0</v>
      </c>
      <c r="K249" s="27">
        <f>Dodatni!J32</f>
        <v>0</v>
      </c>
    </row>
    <row r="250" spans="4:11" x14ac:dyDescent="0.2">
      <c r="D250" s="4" t="s">
        <v>555</v>
      </c>
      <c r="E250" s="4">
        <v>3</v>
      </c>
      <c r="F250" s="4">
        <f>Dodatni!H33</f>
        <v>249</v>
      </c>
      <c r="H250" s="26">
        <f t="shared" si="12"/>
        <v>0</v>
      </c>
      <c r="I250" s="4">
        <f t="shared" si="13"/>
        <v>0</v>
      </c>
      <c r="J250" s="27">
        <f>Dodatni!I33</f>
        <v>0</v>
      </c>
      <c r="K250" s="27">
        <f>Dodatni!J33</f>
        <v>0</v>
      </c>
    </row>
    <row r="251" spans="4:11" x14ac:dyDescent="0.2">
      <c r="D251" s="4" t="s">
        <v>555</v>
      </c>
      <c r="E251" s="4">
        <v>3</v>
      </c>
      <c r="F251" s="4">
        <f>Dodatni!H34</f>
        <v>250</v>
      </c>
      <c r="H251" s="26">
        <f t="shared" si="12"/>
        <v>0</v>
      </c>
      <c r="I251" s="4">
        <f t="shared" si="13"/>
        <v>0</v>
      </c>
      <c r="J251" s="27">
        <f>Dodatni!I34</f>
        <v>0</v>
      </c>
      <c r="K251" s="27">
        <f>Dodatni!J34</f>
        <v>0</v>
      </c>
    </row>
    <row r="252" spans="4:11" x14ac:dyDescent="0.2">
      <c r="D252" s="4" t="s">
        <v>555</v>
      </c>
      <c r="E252" s="4">
        <v>3</v>
      </c>
      <c r="F252" s="4">
        <f>Dodatni!H35</f>
        <v>251</v>
      </c>
      <c r="H252" s="26">
        <f t="shared" si="12"/>
        <v>0</v>
      </c>
      <c r="I252" s="4">
        <f t="shared" si="13"/>
        <v>0</v>
      </c>
      <c r="J252" s="27">
        <f>Dodatni!I35</f>
        <v>0</v>
      </c>
      <c r="K252" s="27">
        <f>Dodatni!J35</f>
        <v>0</v>
      </c>
    </row>
    <row r="253" spans="4:11" x14ac:dyDescent="0.2">
      <c r="D253" s="4" t="s">
        <v>555</v>
      </c>
      <c r="E253" s="4">
        <v>3</v>
      </c>
      <c r="F253" s="4">
        <f>Dodatni!H37</f>
        <v>252</v>
      </c>
      <c r="H253" s="26">
        <f t="shared" si="12"/>
        <v>0</v>
      </c>
      <c r="I253" s="4">
        <f t="shared" si="13"/>
        <v>0</v>
      </c>
      <c r="J253" s="27">
        <f>Dodatni!I37</f>
        <v>0</v>
      </c>
      <c r="K253" s="27">
        <f>Dodatni!J37</f>
        <v>0</v>
      </c>
    </row>
    <row r="254" spans="4:11" x14ac:dyDescent="0.2">
      <c r="D254" s="4" t="s">
        <v>555</v>
      </c>
      <c r="E254" s="4">
        <v>3</v>
      </c>
      <c r="F254" s="4">
        <f>Dodatni!H38</f>
        <v>253</v>
      </c>
      <c r="H254" s="26">
        <f t="shared" si="12"/>
        <v>0</v>
      </c>
      <c r="I254" s="4">
        <f t="shared" si="13"/>
        <v>0</v>
      </c>
      <c r="J254" s="27">
        <f>Dodatni!I38</f>
        <v>0</v>
      </c>
      <c r="K254" s="27">
        <f>Dodatni!J38</f>
        <v>0</v>
      </c>
    </row>
    <row r="255" spans="4:11" x14ac:dyDescent="0.2">
      <c r="D255" s="4" t="s">
        <v>555</v>
      </c>
      <c r="E255" s="4">
        <v>3</v>
      </c>
      <c r="F255" s="4">
        <f>Dodatni!H40</f>
        <v>254</v>
      </c>
      <c r="H255" s="26">
        <f t="shared" si="12"/>
        <v>0</v>
      </c>
      <c r="I255" s="4">
        <f t="shared" si="13"/>
        <v>0</v>
      </c>
      <c r="J255" s="27">
        <f>Dodatni!I40</f>
        <v>0</v>
      </c>
      <c r="K255" s="27">
        <f>Dodatni!J40</f>
        <v>0</v>
      </c>
    </row>
    <row r="256" spans="4:11" x14ac:dyDescent="0.2">
      <c r="D256" s="4" t="s">
        <v>555</v>
      </c>
      <c r="E256" s="4">
        <v>3</v>
      </c>
      <c r="F256" s="4">
        <f>Dodatni!H42</f>
        <v>255</v>
      </c>
      <c r="H256" s="26">
        <f t="shared" si="12"/>
        <v>0</v>
      </c>
      <c r="I256" s="4">
        <f t="shared" si="13"/>
        <v>0</v>
      </c>
      <c r="J256" s="27">
        <f>Dodatni!I42</f>
        <v>0</v>
      </c>
      <c r="K256" s="27">
        <f>Dodatni!J42</f>
        <v>0</v>
      </c>
    </row>
    <row r="257" spans="4:11" x14ac:dyDescent="0.2">
      <c r="D257" s="4" t="s">
        <v>555</v>
      </c>
      <c r="E257" s="4">
        <v>3</v>
      </c>
      <c r="F257" s="4">
        <f>Dodatni!H43</f>
        <v>256</v>
      </c>
      <c r="H257" s="26">
        <f t="shared" si="12"/>
        <v>0</v>
      </c>
      <c r="I257" s="4">
        <f t="shared" si="13"/>
        <v>0</v>
      </c>
      <c r="J257" s="27">
        <f>Dodatni!I43</f>
        <v>0</v>
      </c>
      <c r="K257" s="27">
        <f>Dodatni!J43</f>
        <v>0</v>
      </c>
    </row>
    <row r="258" spans="4:11" x14ac:dyDescent="0.2">
      <c r="D258" s="4" t="s">
        <v>555</v>
      </c>
      <c r="E258" s="4">
        <v>3</v>
      </c>
      <c r="F258" s="4">
        <f>Dodatni!H44</f>
        <v>257</v>
      </c>
      <c r="H258" s="26">
        <f t="shared" si="12"/>
        <v>0</v>
      </c>
      <c r="I258" s="4">
        <f t="shared" si="13"/>
        <v>0</v>
      </c>
      <c r="J258" s="27">
        <f>Dodatni!I44</f>
        <v>0</v>
      </c>
      <c r="K258" s="27">
        <f>Dodatni!J44</f>
        <v>0</v>
      </c>
    </row>
    <row r="259" spans="4:11" x14ac:dyDescent="0.2">
      <c r="D259" s="4" t="s">
        <v>555</v>
      </c>
      <c r="E259" s="4">
        <v>3</v>
      </c>
      <c r="F259" s="4">
        <f>Dodatni!H45</f>
        <v>258</v>
      </c>
      <c r="H259" s="26">
        <f t="shared" si="12"/>
        <v>0</v>
      </c>
      <c r="I259" s="4">
        <f t="shared" si="13"/>
        <v>0</v>
      </c>
      <c r="J259" s="27">
        <f>Dodatni!I45</f>
        <v>0</v>
      </c>
      <c r="K259" s="27">
        <f>Dodatni!J45</f>
        <v>0</v>
      </c>
    </row>
    <row r="260" spans="4:11" x14ac:dyDescent="0.2">
      <c r="D260" s="4" t="s">
        <v>555</v>
      </c>
      <c r="E260" s="4">
        <v>3</v>
      </c>
      <c r="F260" s="4">
        <f>Dodatni!H46</f>
        <v>259</v>
      </c>
      <c r="H260" s="26">
        <f t="shared" si="12"/>
        <v>0</v>
      </c>
      <c r="I260" s="4">
        <f t="shared" si="13"/>
        <v>0</v>
      </c>
      <c r="J260" s="27">
        <f>Dodatni!I46</f>
        <v>0</v>
      </c>
      <c r="K260" s="27">
        <f>Dodatni!J46</f>
        <v>0</v>
      </c>
    </row>
    <row r="261" spans="4:11" x14ac:dyDescent="0.2">
      <c r="D261" s="4" t="s">
        <v>555</v>
      </c>
      <c r="E261" s="4">
        <v>3</v>
      </c>
      <c r="F261" s="4">
        <f>Dodatni!H47</f>
        <v>260</v>
      </c>
      <c r="H261" s="26">
        <f t="shared" si="12"/>
        <v>0</v>
      </c>
      <c r="I261" s="4">
        <f t="shared" si="13"/>
        <v>0</v>
      </c>
      <c r="J261" s="27">
        <f>Dodatni!I47</f>
        <v>0</v>
      </c>
      <c r="K261" s="27">
        <f>Dodatni!J47</f>
        <v>0</v>
      </c>
    </row>
    <row r="262" spans="4:11" x14ac:dyDescent="0.2">
      <c r="D262" s="4" t="s">
        <v>555</v>
      </c>
      <c r="E262" s="4">
        <v>3</v>
      </c>
      <c r="F262" s="4">
        <f>Dodatni!H49</f>
        <v>261</v>
      </c>
      <c r="H262" s="26">
        <f t="shared" si="12"/>
        <v>0</v>
      </c>
      <c r="I262" s="4">
        <f t="shared" si="13"/>
        <v>0</v>
      </c>
      <c r="J262" s="27">
        <f>Dodatni!I49</f>
        <v>0</v>
      </c>
      <c r="K262" s="27">
        <f>Dodatni!J49</f>
        <v>0</v>
      </c>
    </row>
    <row r="263" spans="4:11" x14ac:dyDescent="0.2">
      <c r="D263" s="4" t="s">
        <v>555</v>
      </c>
      <c r="E263" s="4">
        <v>3</v>
      </c>
      <c r="F263" s="4">
        <f>Dodatni!H50</f>
        <v>262</v>
      </c>
      <c r="H263" s="26">
        <f t="shared" si="12"/>
        <v>0</v>
      </c>
      <c r="I263" s="4">
        <f t="shared" si="13"/>
        <v>0</v>
      </c>
      <c r="J263" s="27">
        <f>Dodatni!I50</f>
        <v>0</v>
      </c>
      <c r="K263" s="27">
        <f>Dodatni!J50</f>
        <v>0</v>
      </c>
    </row>
    <row r="264" spans="4:11" x14ac:dyDescent="0.2">
      <c r="D264" s="4" t="s">
        <v>555</v>
      </c>
      <c r="E264" s="4">
        <v>3</v>
      </c>
      <c r="F264" s="4">
        <f>Dodatni!H51</f>
        <v>263</v>
      </c>
      <c r="H264" s="26">
        <f t="shared" si="12"/>
        <v>0</v>
      </c>
      <c r="I264" s="4">
        <f t="shared" si="13"/>
        <v>0</v>
      </c>
      <c r="J264" s="27">
        <f>Dodatni!I51</f>
        <v>0</v>
      </c>
      <c r="K264" s="27">
        <f>Dodatni!J51</f>
        <v>0</v>
      </c>
    </row>
    <row r="265" spans="4:11" x14ac:dyDescent="0.2">
      <c r="D265" s="4" t="s">
        <v>555</v>
      </c>
      <c r="E265" s="4">
        <v>3</v>
      </c>
      <c r="F265" s="4">
        <f>Dodatni!H52</f>
        <v>264</v>
      </c>
      <c r="H265" s="26">
        <f t="shared" si="12"/>
        <v>0</v>
      </c>
      <c r="I265" s="4">
        <f t="shared" si="13"/>
        <v>0</v>
      </c>
      <c r="J265" s="27">
        <f>Dodatni!I52</f>
        <v>0</v>
      </c>
      <c r="K265" s="27">
        <f>Dodatni!J52</f>
        <v>0</v>
      </c>
    </row>
    <row r="266" spans="4:11" x14ac:dyDescent="0.2">
      <c r="D266" s="4" t="s">
        <v>555</v>
      </c>
      <c r="E266" s="4">
        <v>3</v>
      </c>
      <c r="F266" s="4">
        <f>Dodatni!H53</f>
        <v>265</v>
      </c>
      <c r="H266" s="26">
        <f t="shared" si="12"/>
        <v>0</v>
      </c>
      <c r="I266" s="4">
        <f t="shared" si="13"/>
        <v>0</v>
      </c>
      <c r="J266" s="27">
        <f>Dodatni!I53</f>
        <v>0</v>
      </c>
      <c r="K266" s="27">
        <f>Dodatni!J53</f>
        <v>0</v>
      </c>
    </row>
    <row r="267" spans="4:11" x14ac:dyDescent="0.2">
      <c r="D267" s="4" t="s">
        <v>555</v>
      </c>
      <c r="E267" s="4">
        <v>3</v>
      </c>
      <c r="F267" s="4">
        <f>Dodatni!H54</f>
        <v>266</v>
      </c>
      <c r="H267" s="26">
        <f t="shared" si="12"/>
        <v>0</v>
      </c>
      <c r="I267" s="4">
        <f t="shared" si="13"/>
        <v>0</v>
      </c>
      <c r="J267" s="27">
        <f>Dodatni!I54</f>
        <v>0</v>
      </c>
      <c r="K267" s="27">
        <f>Dodatni!J54</f>
        <v>0</v>
      </c>
    </row>
    <row r="268" spans="4:11" x14ac:dyDescent="0.2">
      <c r="D268" s="4" t="s">
        <v>555</v>
      </c>
      <c r="E268" s="4">
        <v>3</v>
      </c>
      <c r="F268" s="4">
        <f>Dodatni!H55</f>
        <v>267</v>
      </c>
      <c r="H268" s="26">
        <f t="shared" si="12"/>
        <v>0</v>
      </c>
      <c r="I268" s="4">
        <f t="shared" si="13"/>
        <v>0</v>
      </c>
      <c r="J268" s="27">
        <f>Dodatni!I55</f>
        <v>0</v>
      </c>
      <c r="K268" s="27">
        <f>Dodatni!J55</f>
        <v>0</v>
      </c>
    </row>
    <row r="269" spans="4:11" x14ac:dyDescent="0.2">
      <c r="D269" s="4" t="s">
        <v>555</v>
      </c>
      <c r="E269" s="4">
        <v>3</v>
      </c>
      <c r="F269" s="4">
        <f>Dodatni!H56</f>
        <v>268</v>
      </c>
      <c r="H269" s="26">
        <f t="shared" si="12"/>
        <v>0</v>
      </c>
      <c r="I269" s="4">
        <f t="shared" si="13"/>
        <v>0</v>
      </c>
      <c r="J269" s="27">
        <f>Dodatni!I56</f>
        <v>0</v>
      </c>
      <c r="K269" s="27">
        <f>Dodatni!J56</f>
        <v>0</v>
      </c>
    </row>
    <row r="270" spans="4:11" x14ac:dyDescent="0.2">
      <c r="D270" s="4" t="s">
        <v>555</v>
      </c>
      <c r="E270" s="4">
        <v>3</v>
      </c>
      <c r="F270" s="4">
        <f>Dodatni!H57</f>
        <v>269</v>
      </c>
      <c r="H270" s="26">
        <f t="shared" si="12"/>
        <v>0</v>
      </c>
      <c r="I270" s="4">
        <f t="shared" si="13"/>
        <v>0</v>
      </c>
      <c r="J270" s="27">
        <f>Dodatni!I57</f>
        <v>0</v>
      </c>
      <c r="K270" s="27">
        <f>Dodatni!J57</f>
        <v>0</v>
      </c>
    </row>
    <row r="271" spans="4:11" x14ac:dyDescent="0.2">
      <c r="D271" s="4" t="s">
        <v>555</v>
      </c>
      <c r="E271" s="4">
        <v>3</v>
      </c>
      <c r="F271" s="4">
        <f>Dodatni!H58</f>
        <v>270</v>
      </c>
      <c r="H271" s="26">
        <f t="shared" si="12"/>
        <v>0</v>
      </c>
      <c r="I271" s="4">
        <f t="shared" si="13"/>
        <v>0</v>
      </c>
      <c r="J271" s="27">
        <f>Dodatni!I58</f>
        <v>0</v>
      </c>
      <c r="K271" s="27">
        <f>Dodatni!J58</f>
        <v>0</v>
      </c>
    </row>
    <row r="272" spans="4:11" x14ac:dyDescent="0.2">
      <c r="D272" s="4" t="s">
        <v>555</v>
      </c>
      <c r="E272" s="4">
        <v>3</v>
      </c>
      <c r="F272" s="4">
        <f>Dodatni!H59</f>
        <v>271</v>
      </c>
      <c r="H272" s="26">
        <f t="shared" si="12"/>
        <v>0</v>
      </c>
      <c r="I272" s="4">
        <f t="shared" si="13"/>
        <v>0</v>
      </c>
      <c r="J272" s="27">
        <f>Dodatni!I59</f>
        <v>0</v>
      </c>
      <c r="K272" s="27">
        <f>Dodatni!J59</f>
        <v>0</v>
      </c>
    </row>
    <row r="273" spans="4:11" x14ac:dyDescent="0.2">
      <c r="D273" s="4" t="s">
        <v>555</v>
      </c>
      <c r="E273" s="4">
        <v>3</v>
      </c>
      <c r="F273" s="4">
        <f>Dodatni!H60</f>
        <v>272</v>
      </c>
      <c r="H273" s="26">
        <f t="shared" si="12"/>
        <v>0</v>
      </c>
      <c r="I273" s="4">
        <f t="shared" si="13"/>
        <v>0</v>
      </c>
      <c r="J273" s="27">
        <f>Dodatni!I60</f>
        <v>0</v>
      </c>
      <c r="K273" s="27">
        <f>Dodatni!J60</f>
        <v>0</v>
      </c>
    </row>
    <row r="274" spans="4:11" x14ac:dyDescent="0.2">
      <c r="D274" s="4" t="s">
        <v>555</v>
      </c>
      <c r="E274" s="4">
        <v>3</v>
      </c>
      <c r="F274" s="4">
        <f>Dodatni!H61</f>
        <v>273</v>
      </c>
      <c r="H274" s="26">
        <f t="shared" si="12"/>
        <v>0</v>
      </c>
      <c r="I274" s="4">
        <f t="shared" si="13"/>
        <v>0</v>
      </c>
      <c r="J274" s="27">
        <f>Dodatni!I61</f>
        <v>0</v>
      </c>
      <c r="K274" s="27">
        <f>Dodatni!J61</f>
        <v>0</v>
      </c>
    </row>
    <row r="275" spans="4:11" x14ac:dyDescent="0.2">
      <c r="D275" s="4" t="s">
        <v>555</v>
      </c>
      <c r="E275" s="4">
        <v>3</v>
      </c>
      <c r="F275" s="4">
        <f>Dodatni!H62</f>
        <v>274</v>
      </c>
      <c r="H275" s="26">
        <f t="shared" si="12"/>
        <v>0</v>
      </c>
      <c r="I275" s="4">
        <f t="shared" si="13"/>
        <v>0</v>
      </c>
      <c r="J275" s="27">
        <f>Dodatni!I62</f>
        <v>0</v>
      </c>
      <c r="K275" s="27">
        <f>Dodatni!J62</f>
        <v>0</v>
      </c>
    </row>
    <row r="276" spans="4:11" x14ac:dyDescent="0.2">
      <c r="D276" s="4" t="s">
        <v>555</v>
      </c>
      <c r="E276" s="4">
        <v>3</v>
      </c>
      <c r="F276" s="4">
        <f>Dodatni!H63</f>
        <v>275</v>
      </c>
      <c r="H276" s="26">
        <f t="shared" si="12"/>
        <v>0</v>
      </c>
      <c r="I276" s="4">
        <f t="shared" si="13"/>
        <v>0</v>
      </c>
      <c r="J276" s="27">
        <f>Dodatni!I63</f>
        <v>0</v>
      </c>
      <c r="K276" s="27">
        <f>Dodatni!J63</f>
        <v>0</v>
      </c>
    </row>
    <row r="277" spans="4:11" x14ac:dyDescent="0.2">
      <c r="D277" s="4" t="s">
        <v>555</v>
      </c>
      <c r="E277" s="4">
        <v>3</v>
      </c>
      <c r="F277" s="4">
        <f>Dodatni!H64</f>
        <v>276</v>
      </c>
      <c r="H277" s="26">
        <f t="shared" si="12"/>
        <v>0</v>
      </c>
      <c r="I277" s="4">
        <f t="shared" si="13"/>
        <v>0</v>
      </c>
      <c r="J277" s="27">
        <f>Dodatni!I64</f>
        <v>0</v>
      </c>
      <c r="K277" s="27">
        <f>Dodatni!J64</f>
        <v>0</v>
      </c>
    </row>
    <row r="278" spans="4:11" x14ac:dyDescent="0.2">
      <c r="D278" s="4" t="s">
        <v>555</v>
      </c>
      <c r="E278" s="4">
        <v>3</v>
      </c>
      <c r="F278" s="4">
        <f>Dodatni!H65</f>
        <v>277</v>
      </c>
      <c r="H278" s="26">
        <f t="shared" si="12"/>
        <v>0</v>
      </c>
      <c r="I278" s="4">
        <f t="shared" si="13"/>
        <v>0</v>
      </c>
      <c r="J278" s="27">
        <f>Dodatni!I65</f>
        <v>0</v>
      </c>
      <c r="K278" s="27">
        <f>Dodatni!J65</f>
        <v>0</v>
      </c>
    </row>
    <row r="279" spans="4:11" x14ac:dyDescent="0.2">
      <c r="D279" s="4" t="s">
        <v>555</v>
      </c>
      <c r="E279" s="4">
        <v>3</v>
      </c>
      <c r="F279" s="4">
        <f>Dodatni!H66</f>
        <v>278</v>
      </c>
      <c r="H279" s="26">
        <f t="shared" si="12"/>
        <v>0</v>
      </c>
      <c r="I279" s="4">
        <f t="shared" si="13"/>
        <v>0</v>
      </c>
      <c r="J279" s="27">
        <f>Dodatni!I66</f>
        <v>0</v>
      </c>
      <c r="K279" s="27">
        <f>Dodatni!J66</f>
        <v>0</v>
      </c>
    </row>
    <row r="280" spans="4:11" x14ac:dyDescent="0.2">
      <c r="D280" s="4" t="s">
        <v>555</v>
      </c>
      <c r="E280" s="4">
        <v>3</v>
      </c>
      <c r="F280" s="4">
        <f>Dodatni!H67</f>
        <v>279</v>
      </c>
      <c r="H280" s="26">
        <f t="shared" si="12"/>
        <v>0</v>
      </c>
      <c r="I280" s="4">
        <f t="shared" si="13"/>
        <v>0</v>
      </c>
      <c r="J280" s="27">
        <f>Dodatni!I67</f>
        <v>0</v>
      </c>
      <c r="K280" s="27">
        <f>Dodatni!J67</f>
        <v>0</v>
      </c>
    </row>
    <row r="281" spans="4:11" x14ac:dyDescent="0.2">
      <c r="D281" s="4" t="s">
        <v>555</v>
      </c>
      <c r="E281" s="4">
        <v>3</v>
      </c>
      <c r="F281" s="4">
        <f>Dodatni!H68</f>
        <v>280</v>
      </c>
      <c r="H281" s="26">
        <f t="shared" si="12"/>
        <v>0</v>
      </c>
      <c r="I281" s="4">
        <f t="shared" si="13"/>
        <v>0</v>
      </c>
      <c r="J281" s="27">
        <f>Dodatni!I68</f>
        <v>0</v>
      </c>
      <c r="K281" s="27">
        <f>Dodatni!J68</f>
        <v>0</v>
      </c>
    </row>
    <row r="282" spans="4:11" x14ac:dyDescent="0.2">
      <c r="D282" s="4" t="s">
        <v>555</v>
      </c>
      <c r="E282" s="4">
        <v>3</v>
      </c>
      <c r="F282" s="4">
        <f>Dodatni!H69</f>
        <v>281</v>
      </c>
      <c r="H282" s="26">
        <f t="shared" si="12"/>
        <v>0</v>
      </c>
      <c r="I282" s="4">
        <f t="shared" si="13"/>
        <v>0</v>
      </c>
      <c r="J282" s="27">
        <f>Dodatni!I69</f>
        <v>0</v>
      </c>
      <c r="K282" s="27">
        <f>Dodatni!J69</f>
        <v>0</v>
      </c>
    </row>
    <row r="283" spans="4:11" x14ac:dyDescent="0.2">
      <c r="D283" s="4" t="s">
        <v>555</v>
      </c>
      <c r="E283" s="4">
        <v>3</v>
      </c>
      <c r="F283" s="4">
        <f>Dodatni!H70</f>
        <v>282</v>
      </c>
      <c r="H283" s="26">
        <f t="shared" si="12"/>
        <v>0</v>
      </c>
      <c r="I283" s="4">
        <f t="shared" si="13"/>
        <v>0</v>
      </c>
      <c r="J283" s="27">
        <f>Dodatni!I70</f>
        <v>0</v>
      </c>
      <c r="K283" s="27">
        <f>Dodatni!J70</f>
        <v>0</v>
      </c>
    </row>
    <row r="284" spans="4:11" x14ac:dyDescent="0.2">
      <c r="D284" s="4" t="s">
        <v>555</v>
      </c>
      <c r="E284" s="4">
        <v>3</v>
      </c>
      <c r="F284" s="4">
        <f>Dodatni!H71</f>
        <v>283</v>
      </c>
      <c r="H284" s="26">
        <f t="shared" si="12"/>
        <v>0</v>
      </c>
      <c r="I284" s="4">
        <f t="shared" si="13"/>
        <v>0</v>
      </c>
      <c r="J284" s="27">
        <f>Dodatni!I71</f>
        <v>0</v>
      </c>
      <c r="K284" s="27">
        <f>Dodatni!J71</f>
        <v>0</v>
      </c>
    </row>
    <row r="285" spans="4:11" x14ac:dyDescent="0.2">
      <c r="D285" s="4" t="s">
        <v>555</v>
      </c>
      <c r="E285" s="4">
        <v>3</v>
      </c>
      <c r="F285" s="4">
        <f>Dodatni!H73</f>
        <v>284</v>
      </c>
      <c r="H285" s="26">
        <f t="shared" ref="H285:H294" si="14">J285/100*F285+2*K285/100*F285</f>
        <v>0</v>
      </c>
      <c r="I285" s="4">
        <f t="shared" ref="I285:I294" si="15">ABS(ROUND(J285,0)-J285)+ABS(ROUND(K285,0)-K285)</f>
        <v>0</v>
      </c>
      <c r="J285" s="27">
        <f>Dodatni!I73</f>
        <v>0</v>
      </c>
      <c r="K285" s="27">
        <f>Dodatni!J73</f>
        <v>0</v>
      </c>
    </row>
    <row r="286" spans="4:11" x14ac:dyDescent="0.2">
      <c r="D286" s="4" t="s">
        <v>555</v>
      </c>
      <c r="E286" s="4">
        <v>3</v>
      </c>
      <c r="F286" s="4">
        <f>Dodatni!H74</f>
        <v>285</v>
      </c>
      <c r="H286" s="26">
        <f t="shared" si="14"/>
        <v>0</v>
      </c>
      <c r="I286" s="4">
        <f t="shared" si="15"/>
        <v>0</v>
      </c>
      <c r="J286" s="27">
        <f>Dodatni!I74</f>
        <v>0</v>
      </c>
      <c r="K286" s="27">
        <f>Dodatni!J74</f>
        <v>0</v>
      </c>
    </row>
    <row r="287" spans="4:11" x14ac:dyDescent="0.2">
      <c r="D287" s="4" t="s">
        <v>555</v>
      </c>
      <c r="E287" s="4">
        <v>3</v>
      </c>
      <c r="F287" s="4">
        <f>Dodatni!H75</f>
        <v>286</v>
      </c>
      <c r="H287" s="26">
        <f t="shared" si="14"/>
        <v>0</v>
      </c>
      <c r="I287" s="4">
        <f t="shared" si="15"/>
        <v>0</v>
      </c>
      <c r="J287" s="27">
        <f>Dodatni!I75</f>
        <v>0</v>
      </c>
      <c r="K287" s="27">
        <f>Dodatni!J75</f>
        <v>0</v>
      </c>
    </row>
    <row r="288" spans="4:11" x14ac:dyDescent="0.2">
      <c r="D288" s="4" t="s">
        <v>555</v>
      </c>
      <c r="E288" s="4">
        <v>3</v>
      </c>
      <c r="F288" s="4">
        <f>Dodatni!H76</f>
        <v>287</v>
      </c>
      <c r="H288" s="26">
        <f t="shared" si="14"/>
        <v>0</v>
      </c>
      <c r="I288" s="4">
        <f t="shared" si="15"/>
        <v>0</v>
      </c>
      <c r="J288" s="27">
        <f>Dodatni!I76</f>
        <v>0</v>
      </c>
      <c r="K288" s="27">
        <f>Dodatni!J76</f>
        <v>0</v>
      </c>
    </row>
    <row r="289" spans="4:11" x14ac:dyDescent="0.2">
      <c r="D289" s="4" t="s">
        <v>555</v>
      </c>
      <c r="E289" s="4">
        <v>3</v>
      </c>
      <c r="F289" s="4">
        <f>Dodatni!H78</f>
        <v>288</v>
      </c>
      <c r="H289" s="26">
        <f t="shared" si="14"/>
        <v>0</v>
      </c>
      <c r="I289" s="4">
        <f t="shared" si="15"/>
        <v>0</v>
      </c>
      <c r="J289" s="27">
        <f>Dodatni!I78</f>
        <v>0</v>
      </c>
      <c r="K289" s="27">
        <f>Dodatni!J78</f>
        <v>0</v>
      </c>
    </row>
    <row r="290" spans="4:11" x14ac:dyDescent="0.2">
      <c r="D290" s="4" t="s">
        <v>555</v>
      </c>
      <c r="E290" s="4">
        <v>3</v>
      </c>
      <c r="F290" s="4">
        <f>Dodatni!H79</f>
        <v>289</v>
      </c>
      <c r="H290" s="26">
        <f t="shared" si="14"/>
        <v>0</v>
      </c>
      <c r="I290" s="4">
        <f t="shared" si="15"/>
        <v>0</v>
      </c>
      <c r="J290" s="27">
        <f>Dodatni!I79</f>
        <v>0</v>
      </c>
      <c r="K290" s="27">
        <f>Dodatni!J79</f>
        <v>0</v>
      </c>
    </row>
    <row r="291" spans="4:11" x14ac:dyDescent="0.2">
      <c r="D291" s="4" t="s">
        <v>555</v>
      </c>
      <c r="E291" s="4">
        <v>3</v>
      </c>
      <c r="F291" s="4">
        <f>Dodatni!H80</f>
        <v>290</v>
      </c>
      <c r="H291" s="26">
        <f t="shared" si="14"/>
        <v>0</v>
      </c>
      <c r="I291" s="4">
        <f t="shared" si="15"/>
        <v>0</v>
      </c>
      <c r="J291" s="27">
        <f>Dodatni!I80</f>
        <v>0</v>
      </c>
      <c r="K291" s="27">
        <f>Dodatni!J80</f>
        <v>0</v>
      </c>
    </row>
    <row r="292" spans="4:11" x14ac:dyDescent="0.2">
      <c r="D292" s="4" t="s">
        <v>555</v>
      </c>
      <c r="E292" s="4">
        <v>3</v>
      </c>
      <c r="F292" s="4">
        <f>Dodatni!H81</f>
        <v>291</v>
      </c>
      <c r="H292" s="26">
        <f t="shared" si="14"/>
        <v>0</v>
      </c>
      <c r="I292" s="4">
        <f t="shared" si="15"/>
        <v>0</v>
      </c>
      <c r="J292" s="27">
        <f>Dodatni!I81</f>
        <v>0</v>
      </c>
      <c r="K292" s="27">
        <f>Dodatni!J81</f>
        <v>0</v>
      </c>
    </row>
    <row r="293" spans="4:11" x14ac:dyDescent="0.2">
      <c r="D293" s="4" t="s">
        <v>555</v>
      </c>
      <c r="E293" s="4">
        <v>3</v>
      </c>
      <c r="F293" s="4">
        <f>Dodatni!H82</f>
        <v>292</v>
      </c>
      <c r="H293" s="26">
        <f t="shared" si="14"/>
        <v>0</v>
      </c>
      <c r="I293" s="4">
        <f t="shared" si="15"/>
        <v>0</v>
      </c>
      <c r="J293" s="27">
        <f>Dodatni!I82</f>
        <v>0</v>
      </c>
      <c r="K293" s="27">
        <f>Dodatni!J82</f>
        <v>0</v>
      </c>
    </row>
    <row r="294" spans="4:11" x14ac:dyDescent="0.2">
      <c r="D294" s="4" t="s">
        <v>555</v>
      </c>
      <c r="E294" s="4">
        <v>3</v>
      </c>
      <c r="F294" s="4">
        <f>Dodatni!H83</f>
        <v>293</v>
      </c>
      <c r="H294" s="26">
        <f t="shared" si="14"/>
        <v>0</v>
      </c>
      <c r="I294" s="4">
        <f t="shared" si="15"/>
        <v>0</v>
      </c>
      <c r="J294" s="27">
        <f>Dodatni!I83</f>
        <v>0</v>
      </c>
      <c r="K294" s="27">
        <f>Dodatni!J83</f>
        <v>0</v>
      </c>
    </row>
    <row r="295" spans="4:11" x14ac:dyDescent="0.2">
      <c r="D295" s="4" t="s">
        <v>555</v>
      </c>
      <c r="E295" s="4">
        <v>3</v>
      </c>
      <c r="F295" s="4">
        <f>Dodatni!H84</f>
        <v>294</v>
      </c>
      <c r="H295" s="26">
        <f t="shared" ref="H295:H301" si="16">J295/100*F295+2*K295/100*F295</f>
        <v>0</v>
      </c>
      <c r="I295" s="4">
        <f t="shared" ref="I295:I301" si="17">ABS(ROUND(J295,0)-J295)+ABS(ROUND(K295,0)-K295)</f>
        <v>0</v>
      </c>
      <c r="J295" s="27">
        <f>Dodatni!I84</f>
        <v>0</v>
      </c>
      <c r="K295" s="27">
        <f>Dodatni!J84</f>
        <v>0</v>
      </c>
    </row>
    <row r="296" spans="4:11" x14ac:dyDescent="0.2">
      <c r="D296" s="4" t="s">
        <v>555</v>
      </c>
      <c r="E296" s="4">
        <v>3</v>
      </c>
      <c r="F296" s="4">
        <f>Dodatni!H85</f>
        <v>295</v>
      </c>
      <c r="H296" s="26">
        <f t="shared" si="16"/>
        <v>0</v>
      </c>
      <c r="I296" s="4">
        <f t="shared" si="17"/>
        <v>0</v>
      </c>
      <c r="J296" s="27">
        <f>Dodatni!I85</f>
        <v>0</v>
      </c>
      <c r="K296" s="27">
        <f>Dodatni!J85</f>
        <v>0</v>
      </c>
    </row>
    <row r="297" spans="4:11" x14ac:dyDescent="0.2">
      <c r="D297" s="4" t="s">
        <v>555</v>
      </c>
      <c r="E297" s="4">
        <v>3</v>
      </c>
      <c r="F297" s="4">
        <f>Dodatni!H86</f>
        <v>296</v>
      </c>
      <c r="H297" s="26">
        <f t="shared" si="16"/>
        <v>0</v>
      </c>
      <c r="I297" s="4">
        <f t="shared" si="17"/>
        <v>0</v>
      </c>
      <c r="J297" s="27">
        <f>Dodatni!I86</f>
        <v>0</v>
      </c>
      <c r="K297" s="27">
        <f>Dodatni!J86</f>
        <v>0</v>
      </c>
    </row>
    <row r="298" spans="4:11" x14ac:dyDescent="0.2">
      <c r="D298" s="4" t="s">
        <v>555</v>
      </c>
      <c r="E298" s="4">
        <v>3</v>
      </c>
      <c r="F298" s="4">
        <f>Dodatni!H88</f>
        <v>297</v>
      </c>
      <c r="H298" s="26">
        <f t="shared" si="16"/>
        <v>0</v>
      </c>
      <c r="I298" s="4">
        <f t="shared" si="17"/>
        <v>0</v>
      </c>
      <c r="J298" s="27">
        <f>Dodatni!I88</f>
        <v>0</v>
      </c>
      <c r="K298" s="27">
        <f>Dodatni!J88</f>
        <v>0</v>
      </c>
    </row>
    <row r="299" spans="4:11" x14ac:dyDescent="0.2">
      <c r="D299" s="4" t="s">
        <v>556</v>
      </c>
      <c r="E299" s="4">
        <v>4</v>
      </c>
      <c r="F299" s="4">
        <f>NT_I!G9</f>
        <v>1</v>
      </c>
      <c r="G299" s="4" t="str">
        <f>IF(NT_I!H9&lt;&gt;"",NT_I!H9,"")</f>
        <v/>
      </c>
      <c r="H299" s="26">
        <f t="shared" si="16"/>
        <v>0</v>
      </c>
      <c r="I299" s="4">
        <f t="shared" si="17"/>
        <v>0</v>
      </c>
      <c r="J299" s="27">
        <f>NT_I!I9</f>
        <v>0</v>
      </c>
      <c r="K299" s="27">
        <f>NT_I!J9</f>
        <v>0</v>
      </c>
    </row>
    <row r="300" spans="4:11" x14ac:dyDescent="0.2">
      <c r="D300" s="4" t="s">
        <v>556</v>
      </c>
      <c r="E300" s="4">
        <v>4</v>
      </c>
      <c r="F300" s="4">
        <f>NT_I!G10</f>
        <v>2</v>
      </c>
      <c r="G300" s="4" t="str">
        <f>IF(NT_I!H10&lt;&gt;"",NT_I!H10,"")</f>
        <v/>
      </c>
      <c r="H300" s="26">
        <f t="shared" si="16"/>
        <v>0</v>
      </c>
      <c r="I300" s="4">
        <f t="shared" si="17"/>
        <v>0</v>
      </c>
      <c r="J300" s="27">
        <f>NT_I!I10</f>
        <v>0</v>
      </c>
      <c r="K300" s="27">
        <f>NT_I!J10</f>
        <v>0</v>
      </c>
    </row>
    <row r="301" spans="4:11" x14ac:dyDescent="0.2">
      <c r="D301" s="4" t="s">
        <v>556</v>
      </c>
      <c r="E301" s="4">
        <v>4</v>
      </c>
      <c r="F301" s="4">
        <f>NT_I!G11</f>
        <v>3</v>
      </c>
      <c r="G301" s="4" t="str">
        <f>IF(NT_I!H11&lt;&gt;"",NT_I!H11,"")</f>
        <v/>
      </c>
      <c r="H301" s="26">
        <f t="shared" si="16"/>
        <v>0</v>
      </c>
      <c r="I301" s="4">
        <f t="shared" si="17"/>
        <v>0</v>
      </c>
      <c r="J301" s="27">
        <f>NT_I!I11</f>
        <v>0</v>
      </c>
      <c r="K301" s="27">
        <f>NT_I!J11</f>
        <v>0</v>
      </c>
    </row>
    <row r="302" spans="4:11" x14ac:dyDescent="0.2">
      <c r="D302" s="4" t="s">
        <v>556</v>
      </c>
      <c r="E302" s="4">
        <v>4</v>
      </c>
      <c r="F302" s="4">
        <f>NT_I!G12</f>
        <v>4</v>
      </c>
      <c r="G302" s="4" t="str">
        <f>IF(NT_I!H12&lt;&gt;"",NT_I!H12,"")</f>
        <v/>
      </c>
      <c r="H302" s="26">
        <f t="shared" ref="H302:H340" si="18">J302/100*F302+2*K302/100*F302</f>
        <v>0</v>
      </c>
      <c r="I302" s="4">
        <f t="shared" ref="I302:I340" si="19">ABS(ROUND(J302,0)-J302)+ABS(ROUND(K302,0)-K302)</f>
        <v>0</v>
      </c>
      <c r="J302" s="27">
        <f>NT_I!I12</f>
        <v>0</v>
      </c>
      <c r="K302" s="27">
        <f>NT_I!J12</f>
        <v>0</v>
      </c>
    </row>
    <row r="303" spans="4:11" x14ac:dyDescent="0.2">
      <c r="D303" s="4" t="s">
        <v>556</v>
      </c>
      <c r="E303" s="4">
        <v>4</v>
      </c>
      <c r="F303" s="4">
        <f>NT_I!G13</f>
        <v>5</v>
      </c>
      <c r="G303" s="4" t="str">
        <f>IF(NT_I!H13&lt;&gt;"",NT_I!H13,"")</f>
        <v/>
      </c>
      <c r="H303" s="26">
        <f t="shared" si="18"/>
        <v>0</v>
      </c>
      <c r="I303" s="4">
        <f t="shared" si="19"/>
        <v>0</v>
      </c>
      <c r="J303" s="27">
        <f>NT_I!I13</f>
        <v>0</v>
      </c>
      <c r="K303" s="27">
        <f>NT_I!J13</f>
        <v>0</v>
      </c>
    </row>
    <row r="304" spans="4:11" x14ac:dyDescent="0.2">
      <c r="D304" s="4" t="s">
        <v>556</v>
      </c>
      <c r="E304" s="4">
        <v>4</v>
      </c>
      <c r="F304" s="4">
        <f>NT_I!G14</f>
        <v>6</v>
      </c>
      <c r="G304" s="4" t="str">
        <f>IF(NT_I!H14&lt;&gt;"",NT_I!H14,"")</f>
        <v/>
      </c>
      <c r="H304" s="26">
        <f t="shared" si="18"/>
        <v>0</v>
      </c>
      <c r="I304" s="4">
        <f t="shared" si="19"/>
        <v>0</v>
      </c>
      <c r="J304" s="27">
        <f>NT_I!I14</f>
        <v>0</v>
      </c>
      <c r="K304" s="27">
        <f>NT_I!J14</f>
        <v>0</v>
      </c>
    </row>
    <row r="305" spans="4:11" x14ac:dyDescent="0.2">
      <c r="D305" s="4" t="s">
        <v>556</v>
      </c>
      <c r="E305" s="4">
        <v>4</v>
      </c>
      <c r="F305" s="4">
        <f>NT_I!G15</f>
        <v>7</v>
      </c>
      <c r="G305" s="4" t="str">
        <f>IF(NT_I!H15&lt;&gt;"",NT_I!H15,"")</f>
        <v/>
      </c>
      <c r="H305" s="26">
        <f t="shared" si="18"/>
        <v>0</v>
      </c>
      <c r="I305" s="4">
        <f t="shared" si="19"/>
        <v>0</v>
      </c>
      <c r="J305" s="27">
        <f>NT_I!I15</f>
        <v>0</v>
      </c>
      <c r="K305" s="27">
        <f>NT_I!J15</f>
        <v>0</v>
      </c>
    </row>
    <row r="306" spans="4:11" x14ac:dyDescent="0.2">
      <c r="D306" s="4" t="s">
        <v>556</v>
      </c>
      <c r="E306" s="4">
        <v>4</v>
      </c>
      <c r="F306" s="4">
        <f>NT_I!G16</f>
        <v>8</v>
      </c>
      <c r="G306" s="4" t="str">
        <f>IF(NT_I!H16&lt;&gt;"",NT_I!H16,"")</f>
        <v/>
      </c>
      <c r="H306" s="26">
        <f t="shared" si="18"/>
        <v>0</v>
      </c>
      <c r="I306" s="4">
        <f t="shared" si="19"/>
        <v>0</v>
      </c>
      <c r="J306" s="27">
        <f>NT_I!I16</f>
        <v>0</v>
      </c>
      <c r="K306" s="27">
        <f>NT_I!J16</f>
        <v>0</v>
      </c>
    </row>
    <row r="307" spans="4:11" x14ac:dyDescent="0.2">
      <c r="D307" s="4" t="s">
        <v>556</v>
      </c>
      <c r="E307" s="4">
        <v>4</v>
      </c>
      <c r="F307" s="4">
        <f>NT_I!G17</f>
        <v>9</v>
      </c>
      <c r="G307" s="4" t="str">
        <f>IF(NT_I!H17&lt;&gt;"",NT_I!H17,"")</f>
        <v/>
      </c>
      <c r="H307" s="26">
        <f t="shared" si="18"/>
        <v>0</v>
      </c>
      <c r="I307" s="4">
        <f t="shared" si="19"/>
        <v>0</v>
      </c>
      <c r="J307" s="27">
        <f>NT_I!I17</f>
        <v>0</v>
      </c>
      <c r="K307" s="27">
        <f>NT_I!J17</f>
        <v>0</v>
      </c>
    </row>
    <row r="308" spans="4:11" x14ac:dyDescent="0.2">
      <c r="D308" s="4" t="s">
        <v>556</v>
      </c>
      <c r="E308" s="4">
        <v>4</v>
      </c>
      <c r="F308" s="4">
        <f>NT_I!G18</f>
        <v>10</v>
      </c>
      <c r="G308" s="4" t="str">
        <f>IF(NT_I!H18&lt;&gt;"",NT_I!H18,"")</f>
        <v/>
      </c>
      <c r="H308" s="26">
        <f t="shared" si="18"/>
        <v>0</v>
      </c>
      <c r="I308" s="4">
        <f t="shared" si="19"/>
        <v>0</v>
      </c>
      <c r="J308" s="27">
        <f>NT_I!I18</f>
        <v>0</v>
      </c>
      <c r="K308" s="27">
        <f>NT_I!J18</f>
        <v>0</v>
      </c>
    </row>
    <row r="309" spans="4:11" x14ac:dyDescent="0.2">
      <c r="D309" s="4" t="s">
        <v>556</v>
      </c>
      <c r="E309" s="4">
        <v>4</v>
      </c>
      <c r="F309" s="4">
        <f>NT_I!G19</f>
        <v>11</v>
      </c>
      <c r="G309" s="4" t="str">
        <f>IF(NT_I!H19&lt;&gt;"",NT_I!H19,"")</f>
        <v/>
      </c>
      <c r="H309" s="26">
        <f t="shared" si="18"/>
        <v>0</v>
      </c>
      <c r="I309" s="4">
        <f t="shared" si="19"/>
        <v>0</v>
      </c>
      <c r="J309" s="27">
        <f>NT_I!I19</f>
        <v>0</v>
      </c>
      <c r="K309" s="27">
        <f>NT_I!J19</f>
        <v>0</v>
      </c>
    </row>
    <row r="310" spans="4:11" x14ac:dyDescent="0.2">
      <c r="D310" s="4" t="s">
        <v>556</v>
      </c>
      <c r="E310" s="4">
        <v>4</v>
      </c>
      <c r="F310" s="4">
        <f>NT_I!G20</f>
        <v>12</v>
      </c>
      <c r="G310" s="4" t="str">
        <f>IF(NT_I!H20&lt;&gt;"",NT_I!H20,"")</f>
        <v/>
      </c>
      <c r="H310" s="26">
        <f t="shared" si="18"/>
        <v>0</v>
      </c>
      <c r="I310" s="4">
        <f t="shared" si="19"/>
        <v>0</v>
      </c>
      <c r="J310" s="27">
        <f>NT_I!I20</f>
        <v>0</v>
      </c>
      <c r="K310" s="27">
        <f>NT_I!J20</f>
        <v>0</v>
      </c>
    </row>
    <row r="311" spans="4:11" x14ac:dyDescent="0.2">
      <c r="D311" s="4" t="s">
        <v>556</v>
      </c>
      <c r="E311" s="4">
        <v>4</v>
      </c>
      <c r="F311" s="4">
        <f>NT_I!G21</f>
        <v>13</v>
      </c>
      <c r="G311" s="4" t="str">
        <f>IF(NT_I!H21&lt;&gt;"",NT_I!H21,"")</f>
        <v/>
      </c>
      <c r="H311" s="26">
        <f t="shared" si="18"/>
        <v>0</v>
      </c>
      <c r="I311" s="4">
        <f t="shared" si="19"/>
        <v>0</v>
      </c>
      <c r="J311" s="27">
        <f>NT_I!I21</f>
        <v>0</v>
      </c>
      <c r="K311" s="27">
        <f>NT_I!J21</f>
        <v>0</v>
      </c>
    </row>
    <row r="312" spans="4:11" x14ac:dyDescent="0.2">
      <c r="D312" s="4" t="s">
        <v>556</v>
      </c>
      <c r="E312" s="4">
        <v>4</v>
      </c>
      <c r="F312" s="4">
        <f>NT_I!G22</f>
        <v>14</v>
      </c>
      <c r="G312" s="4" t="str">
        <f>IF(NT_I!H22&lt;&gt;"",NT_I!H22,"")</f>
        <v/>
      </c>
      <c r="H312" s="26">
        <f t="shared" si="18"/>
        <v>0</v>
      </c>
      <c r="I312" s="4">
        <f t="shared" si="19"/>
        <v>0</v>
      </c>
      <c r="J312" s="27">
        <f>NT_I!I22</f>
        <v>0</v>
      </c>
      <c r="K312" s="27">
        <f>NT_I!J22</f>
        <v>0</v>
      </c>
    </row>
    <row r="313" spans="4:11" x14ac:dyDescent="0.2">
      <c r="D313" s="4" t="s">
        <v>556</v>
      </c>
      <c r="E313" s="4">
        <v>4</v>
      </c>
      <c r="F313" s="4">
        <f>NT_I!G23</f>
        <v>15</v>
      </c>
      <c r="G313" s="4" t="str">
        <f>IF(NT_I!H23&lt;&gt;"",NT_I!H23,"")</f>
        <v/>
      </c>
      <c r="H313" s="26">
        <f t="shared" si="18"/>
        <v>0</v>
      </c>
      <c r="I313" s="4">
        <f t="shared" si="19"/>
        <v>0</v>
      </c>
      <c r="J313" s="27">
        <f>NT_I!I23</f>
        <v>0</v>
      </c>
      <c r="K313" s="27">
        <f>NT_I!J23</f>
        <v>0</v>
      </c>
    </row>
    <row r="314" spans="4:11" x14ac:dyDescent="0.2">
      <c r="D314" s="4" t="s">
        <v>556</v>
      </c>
      <c r="E314" s="4">
        <v>4</v>
      </c>
      <c r="F314" s="4">
        <f>NT_I!G24</f>
        <v>16</v>
      </c>
      <c r="G314" s="4" t="str">
        <f>IF(NT_I!H24&lt;&gt;"",NT_I!H24,"")</f>
        <v/>
      </c>
      <c r="H314" s="26">
        <f t="shared" si="18"/>
        <v>0</v>
      </c>
      <c r="I314" s="4">
        <f t="shared" si="19"/>
        <v>0</v>
      </c>
      <c r="J314" s="27">
        <f>NT_I!I24</f>
        <v>0</v>
      </c>
      <c r="K314" s="27">
        <f>NT_I!J24</f>
        <v>0</v>
      </c>
    </row>
    <row r="315" spans="4:11" x14ac:dyDescent="0.2">
      <c r="D315" s="4" t="s">
        <v>556</v>
      </c>
      <c r="E315" s="4">
        <v>4</v>
      </c>
      <c r="F315" s="4">
        <f>NT_I!G25</f>
        <v>17</v>
      </c>
      <c r="G315" s="4" t="str">
        <f>IF(NT_I!H25&lt;&gt;"",NT_I!H25,"")</f>
        <v/>
      </c>
      <c r="H315" s="26">
        <f t="shared" si="18"/>
        <v>0</v>
      </c>
      <c r="I315" s="4">
        <f t="shared" si="19"/>
        <v>0</v>
      </c>
      <c r="J315" s="27">
        <f>NT_I!I25</f>
        <v>0</v>
      </c>
      <c r="K315" s="27">
        <f>NT_I!J25</f>
        <v>0</v>
      </c>
    </row>
    <row r="316" spans="4:11" x14ac:dyDescent="0.2">
      <c r="D316" s="4" t="s">
        <v>556</v>
      </c>
      <c r="E316" s="4">
        <v>4</v>
      </c>
      <c r="F316" s="4">
        <f>NT_I!G26</f>
        <v>18</v>
      </c>
      <c r="G316" s="4" t="str">
        <f>IF(NT_I!H26&lt;&gt;"",NT_I!H26,"")</f>
        <v/>
      </c>
      <c r="H316" s="26">
        <f t="shared" si="18"/>
        <v>0</v>
      </c>
      <c r="I316" s="4">
        <f t="shared" si="19"/>
        <v>0</v>
      </c>
      <c r="J316" s="27">
        <f>NT_I!I26</f>
        <v>0</v>
      </c>
      <c r="K316" s="27">
        <f>NT_I!J26</f>
        <v>0</v>
      </c>
    </row>
    <row r="317" spans="4:11" x14ac:dyDescent="0.2">
      <c r="D317" s="4" t="s">
        <v>556</v>
      </c>
      <c r="E317" s="4">
        <v>4</v>
      </c>
      <c r="F317" s="4">
        <f>NT_I!G27</f>
        <v>19</v>
      </c>
      <c r="G317" s="4" t="str">
        <f>IF(NT_I!H27&lt;&gt;"",NT_I!H27,"")</f>
        <v/>
      </c>
      <c r="H317" s="26">
        <f t="shared" si="18"/>
        <v>0</v>
      </c>
      <c r="I317" s="4">
        <f t="shared" si="19"/>
        <v>0</v>
      </c>
      <c r="J317" s="27">
        <f>NT_I!I27</f>
        <v>0</v>
      </c>
      <c r="K317" s="27">
        <f>NT_I!J27</f>
        <v>0</v>
      </c>
    </row>
    <row r="318" spans="4:11" x14ac:dyDescent="0.2">
      <c r="D318" s="4" t="s">
        <v>556</v>
      </c>
      <c r="E318" s="4">
        <v>4</v>
      </c>
      <c r="F318" s="4">
        <f>NT_I!G28</f>
        <v>20</v>
      </c>
      <c r="G318" s="4" t="str">
        <f>IF(NT_I!H28&lt;&gt;"",NT_I!H28,"")</f>
        <v/>
      </c>
      <c r="H318" s="26">
        <f t="shared" si="18"/>
        <v>0</v>
      </c>
      <c r="I318" s="4">
        <f t="shared" si="19"/>
        <v>0</v>
      </c>
      <c r="J318" s="27">
        <f>NT_I!I28</f>
        <v>0</v>
      </c>
      <c r="K318" s="27">
        <f>NT_I!J28</f>
        <v>0</v>
      </c>
    </row>
    <row r="319" spans="4:11" x14ac:dyDescent="0.2">
      <c r="D319" s="4" t="s">
        <v>556</v>
      </c>
      <c r="E319" s="4">
        <v>4</v>
      </c>
      <c r="F319" s="4">
        <f>NT_I!G30</f>
        <v>21</v>
      </c>
      <c r="G319" s="4" t="str">
        <f>IF(NT_I!H30&lt;&gt;"",NT_I!H30,"")</f>
        <v/>
      </c>
      <c r="H319" s="26">
        <f t="shared" si="18"/>
        <v>0</v>
      </c>
      <c r="I319" s="4">
        <f t="shared" si="19"/>
        <v>0</v>
      </c>
      <c r="J319" s="27">
        <f>NT_I!I30</f>
        <v>0</v>
      </c>
      <c r="K319" s="27">
        <f>NT_I!J30</f>
        <v>0</v>
      </c>
    </row>
    <row r="320" spans="4:11" x14ac:dyDescent="0.2">
      <c r="D320" s="4" t="s">
        <v>556</v>
      </c>
      <c r="E320" s="4">
        <v>4</v>
      </c>
      <c r="F320" s="4">
        <f>NT_I!G31</f>
        <v>22</v>
      </c>
      <c r="G320" s="4" t="str">
        <f>IF(NT_I!H31&lt;&gt;"",NT_I!H31,"")</f>
        <v/>
      </c>
      <c r="H320" s="26">
        <f t="shared" si="18"/>
        <v>0</v>
      </c>
      <c r="I320" s="4">
        <f t="shared" si="19"/>
        <v>0</v>
      </c>
      <c r="J320" s="27">
        <f>NT_I!I31</f>
        <v>0</v>
      </c>
      <c r="K320" s="27">
        <f>NT_I!J31</f>
        <v>0</v>
      </c>
    </row>
    <row r="321" spans="4:11" x14ac:dyDescent="0.2">
      <c r="D321" s="4" t="s">
        <v>556</v>
      </c>
      <c r="E321" s="4">
        <v>4</v>
      </c>
      <c r="F321" s="4">
        <f>NT_I!G32</f>
        <v>23</v>
      </c>
      <c r="G321" s="4" t="str">
        <f>IF(NT_I!H32&lt;&gt;"",NT_I!H32,"")</f>
        <v/>
      </c>
      <c r="H321" s="26">
        <f t="shared" si="18"/>
        <v>0</v>
      </c>
      <c r="I321" s="4">
        <f t="shared" si="19"/>
        <v>0</v>
      </c>
      <c r="J321" s="27">
        <f>NT_I!I32</f>
        <v>0</v>
      </c>
      <c r="K321" s="27">
        <f>NT_I!J32</f>
        <v>0</v>
      </c>
    </row>
    <row r="322" spans="4:11" x14ac:dyDescent="0.2">
      <c r="D322" s="4" t="s">
        <v>556</v>
      </c>
      <c r="E322" s="4">
        <v>4</v>
      </c>
      <c r="F322" s="4">
        <f>NT_I!G33</f>
        <v>24</v>
      </c>
      <c r="G322" s="4" t="str">
        <f>IF(NT_I!H33&lt;&gt;"",NT_I!H33,"")</f>
        <v/>
      </c>
      <c r="H322" s="26">
        <f t="shared" si="18"/>
        <v>0</v>
      </c>
      <c r="I322" s="4">
        <f t="shared" si="19"/>
        <v>0</v>
      </c>
      <c r="J322" s="27">
        <f>NT_I!I33</f>
        <v>0</v>
      </c>
      <c r="K322" s="27">
        <f>NT_I!J33</f>
        <v>0</v>
      </c>
    </row>
    <row r="323" spans="4:11" x14ac:dyDescent="0.2">
      <c r="D323" s="4" t="s">
        <v>556</v>
      </c>
      <c r="E323" s="4">
        <v>4</v>
      </c>
      <c r="F323" s="4">
        <f>NT_I!G34</f>
        <v>25</v>
      </c>
      <c r="G323" s="4" t="str">
        <f>IF(NT_I!H34&lt;&gt;"",NT_I!H34,"")</f>
        <v/>
      </c>
      <c r="H323" s="26">
        <f t="shared" si="18"/>
        <v>0</v>
      </c>
      <c r="I323" s="4">
        <f t="shared" si="19"/>
        <v>0</v>
      </c>
      <c r="J323" s="27">
        <f>NT_I!I34</f>
        <v>0</v>
      </c>
      <c r="K323" s="27">
        <f>NT_I!J34</f>
        <v>0</v>
      </c>
    </row>
    <row r="324" spans="4:11" x14ac:dyDescent="0.2">
      <c r="D324" s="4" t="s">
        <v>556</v>
      </c>
      <c r="E324" s="4">
        <v>4</v>
      </c>
      <c r="F324" s="4">
        <f>NT_I!G35</f>
        <v>26</v>
      </c>
      <c r="G324" s="4" t="str">
        <f>IF(NT_I!H35&lt;&gt;"",NT_I!H35,"")</f>
        <v/>
      </c>
      <c r="H324" s="26">
        <f t="shared" si="18"/>
        <v>0</v>
      </c>
      <c r="I324" s="4">
        <f t="shared" si="19"/>
        <v>0</v>
      </c>
      <c r="J324" s="27">
        <f>NT_I!I35</f>
        <v>0</v>
      </c>
      <c r="K324" s="27">
        <f>NT_I!J35</f>
        <v>0</v>
      </c>
    </row>
    <row r="325" spans="4:11" x14ac:dyDescent="0.2">
      <c r="D325" s="4" t="s">
        <v>556</v>
      </c>
      <c r="E325" s="4">
        <v>4</v>
      </c>
      <c r="F325" s="4">
        <f>NT_I!G36</f>
        <v>27</v>
      </c>
      <c r="G325" s="4" t="str">
        <f>IF(NT_I!H36&lt;&gt;"",NT_I!H36,"")</f>
        <v/>
      </c>
      <c r="H325" s="26">
        <f t="shared" si="18"/>
        <v>0</v>
      </c>
      <c r="I325" s="4">
        <f t="shared" si="19"/>
        <v>0</v>
      </c>
      <c r="J325" s="27">
        <f>NT_I!I36</f>
        <v>0</v>
      </c>
      <c r="K325" s="27">
        <f>NT_I!J36</f>
        <v>0</v>
      </c>
    </row>
    <row r="326" spans="4:11" x14ac:dyDescent="0.2">
      <c r="D326" s="4" t="s">
        <v>556</v>
      </c>
      <c r="E326" s="4">
        <v>4</v>
      </c>
      <c r="F326" s="4">
        <f>NT_I!G37</f>
        <v>28</v>
      </c>
      <c r="G326" s="4" t="str">
        <f>IF(NT_I!H37&lt;&gt;"",NT_I!H37,"")</f>
        <v/>
      </c>
      <c r="H326" s="26">
        <f t="shared" si="18"/>
        <v>0</v>
      </c>
      <c r="I326" s="4">
        <f t="shared" si="19"/>
        <v>0</v>
      </c>
      <c r="J326" s="27">
        <f>NT_I!I37</f>
        <v>0</v>
      </c>
      <c r="K326" s="27">
        <f>NT_I!J37</f>
        <v>0</v>
      </c>
    </row>
    <row r="327" spans="4:11" x14ac:dyDescent="0.2">
      <c r="D327" s="4" t="s">
        <v>556</v>
      </c>
      <c r="E327" s="4">
        <v>4</v>
      </c>
      <c r="F327" s="4">
        <f>NT_I!G38</f>
        <v>29</v>
      </c>
      <c r="G327" s="4" t="str">
        <f>IF(NT_I!H38&lt;&gt;"",NT_I!H38,"")</f>
        <v/>
      </c>
      <c r="H327" s="26">
        <f t="shared" si="18"/>
        <v>0</v>
      </c>
      <c r="I327" s="4">
        <f t="shared" si="19"/>
        <v>0</v>
      </c>
      <c r="J327" s="27">
        <f>NT_I!I38</f>
        <v>0</v>
      </c>
      <c r="K327" s="27">
        <f>NT_I!J38</f>
        <v>0</v>
      </c>
    </row>
    <row r="328" spans="4:11" x14ac:dyDescent="0.2">
      <c r="D328" s="4" t="s">
        <v>556</v>
      </c>
      <c r="E328" s="4">
        <v>4</v>
      </c>
      <c r="F328" s="4">
        <f>NT_I!G39</f>
        <v>30</v>
      </c>
      <c r="G328" s="4" t="str">
        <f>IF(NT_I!H39&lt;&gt;"",NT_I!H39,"")</f>
        <v/>
      </c>
      <c r="H328" s="26">
        <f t="shared" si="18"/>
        <v>0</v>
      </c>
      <c r="I328" s="4">
        <f t="shared" si="19"/>
        <v>0</v>
      </c>
      <c r="J328" s="27">
        <f>NT_I!I39</f>
        <v>0</v>
      </c>
      <c r="K328" s="27">
        <f>NT_I!J39</f>
        <v>0</v>
      </c>
    </row>
    <row r="329" spans="4:11" x14ac:dyDescent="0.2">
      <c r="D329" s="4" t="s">
        <v>556</v>
      </c>
      <c r="E329" s="4">
        <v>4</v>
      </c>
      <c r="F329" s="4">
        <f>NT_I!G40</f>
        <v>31</v>
      </c>
      <c r="G329" s="4" t="str">
        <f>IF(NT_I!H40&lt;&gt;"",NT_I!H40,"")</f>
        <v/>
      </c>
      <c r="H329" s="26">
        <f t="shared" si="18"/>
        <v>0</v>
      </c>
      <c r="I329" s="4">
        <f t="shared" si="19"/>
        <v>0</v>
      </c>
      <c r="J329" s="27">
        <f>NT_I!I40</f>
        <v>0</v>
      </c>
      <c r="K329" s="27">
        <f>NT_I!J40</f>
        <v>0</v>
      </c>
    </row>
    <row r="330" spans="4:11" x14ac:dyDescent="0.2">
      <c r="D330" s="4" t="s">
        <v>556</v>
      </c>
      <c r="E330" s="4">
        <v>4</v>
      </c>
      <c r="F330" s="4">
        <f>NT_I!G41</f>
        <v>32</v>
      </c>
      <c r="G330" s="4" t="str">
        <f>IF(NT_I!H41&lt;&gt;"",NT_I!H41,"")</f>
        <v/>
      </c>
      <c r="H330" s="26">
        <f t="shared" si="18"/>
        <v>0</v>
      </c>
      <c r="I330" s="4">
        <f t="shared" si="19"/>
        <v>0</v>
      </c>
      <c r="J330" s="27">
        <f>NT_I!I41</f>
        <v>0</v>
      </c>
      <c r="K330" s="27">
        <f>NT_I!J41</f>
        <v>0</v>
      </c>
    </row>
    <row r="331" spans="4:11" x14ac:dyDescent="0.2">
      <c r="D331" s="4" t="s">
        <v>556</v>
      </c>
      <c r="E331" s="4">
        <v>4</v>
      </c>
      <c r="F331" s="4">
        <f>NT_I!G42</f>
        <v>33</v>
      </c>
      <c r="G331" s="4" t="str">
        <f>IF(NT_I!H42&lt;&gt;"",NT_I!H42,"")</f>
        <v/>
      </c>
      <c r="H331" s="26">
        <f t="shared" si="18"/>
        <v>0</v>
      </c>
      <c r="I331" s="4">
        <f t="shared" si="19"/>
        <v>0</v>
      </c>
      <c r="J331" s="27">
        <f>NT_I!I42</f>
        <v>0</v>
      </c>
      <c r="K331" s="27">
        <f>NT_I!J42</f>
        <v>0</v>
      </c>
    </row>
    <row r="332" spans="4:11" x14ac:dyDescent="0.2">
      <c r="D332" s="4" t="s">
        <v>556</v>
      </c>
      <c r="E332" s="4">
        <v>4</v>
      </c>
      <c r="F332" s="4">
        <f>NT_I!G43</f>
        <v>34</v>
      </c>
      <c r="G332" s="4" t="str">
        <f>IF(NT_I!H43&lt;&gt;"",NT_I!H43,"")</f>
        <v/>
      </c>
      <c r="H332" s="26">
        <f t="shared" si="18"/>
        <v>0</v>
      </c>
      <c r="I332" s="4">
        <f t="shared" si="19"/>
        <v>0</v>
      </c>
      <c r="J332" s="27">
        <f>NT_I!I43</f>
        <v>0</v>
      </c>
      <c r="K332" s="27">
        <f>NT_I!J43</f>
        <v>0</v>
      </c>
    </row>
    <row r="333" spans="4:11" x14ac:dyDescent="0.2">
      <c r="D333" s="4" t="s">
        <v>556</v>
      </c>
      <c r="E333" s="4">
        <v>4</v>
      </c>
      <c r="F333" s="4">
        <f>NT_I!G45</f>
        <v>35</v>
      </c>
      <c r="G333" s="4" t="str">
        <f>IF(NT_I!H45&lt;&gt;"",NT_I!H45,"")</f>
        <v/>
      </c>
      <c r="H333" s="26">
        <f t="shared" si="18"/>
        <v>0</v>
      </c>
      <c r="I333" s="4">
        <f t="shared" si="19"/>
        <v>0</v>
      </c>
      <c r="J333" s="27">
        <f>NT_I!I45</f>
        <v>0</v>
      </c>
      <c r="K333" s="27">
        <f>NT_I!J45</f>
        <v>0</v>
      </c>
    </row>
    <row r="334" spans="4:11" x14ac:dyDescent="0.2">
      <c r="D334" s="4" t="s">
        <v>556</v>
      </c>
      <c r="E334" s="4">
        <v>4</v>
      </c>
      <c r="F334" s="4">
        <f>NT_I!G46</f>
        <v>36</v>
      </c>
      <c r="G334" s="4" t="str">
        <f>IF(NT_I!H46&lt;&gt;"",NT_I!H46,"")</f>
        <v/>
      </c>
      <c r="H334" s="26">
        <f t="shared" si="18"/>
        <v>0</v>
      </c>
      <c r="I334" s="4">
        <f t="shared" si="19"/>
        <v>0</v>
      </c>
      <c r="J334" s="27">
        <f>NT_I!I46</f>
        <v>0</v>
      </c>
      <c r="K334" s="27">
        <f>NT_I!J46</f>
        <v>0</v>
      </c>
    </row>
    <row r="335" spans="4:11" x14ac:dyDescent="0.2">
      <c r="D335" s="4" t="s">
        <v>556</v>
      </c>
      <c r="E335" s="4">
        <v>4</v>
      </c>
      <c r="F335" s="4">
        <f>NT_I!G47</f>
        <v>37</v>
      </c>
      <c r="G335" s="4" t="str">
        <f>IF(NT_I!H47&lt;&gt;"",NT_I!H47,"")</f>
        <v/>
      </c>
      <c r="H335" s="26">
        <f t="shared" si="18"/>
        <v>0</v>
      </c>
      <c r="I335" s="4">
        <f t="shared" si="19"/>
        <v>0</v>
      </c>
      <c r="J335" s="27">
        <f>NT_I!I47</f>
        <v>0</v>
      </c>
      <c r="K335" s="27">
        <f>NT_I!J47</f>
        <v>0</v>
      </c>
    </row>
    <row r="336" spans="4:11" x14ac:dyDescent="0.2">
      <c r="D336" s="4" t="s">
        <v>556</v>
      </c>
      <c r="E336" s="4">
        <v>4</v>
      </c>
      <c r="F336" s="4">
        <f>NT_I!G48</f>
        <v>38</v>
      </c>
      <c r="G336" s="4" t="str">
        <f>IF(NT_I!H48&lt;&gt;"",NT_I!H48,"")</f>
        <v/>
      </c>
      <c r="H336" s="26">
        <f t="shared" si="18"/>
        <v>0</v>
      </c>
      <c r="I336" s="4">
        <f t="shared" si="19"/>
        <v>0</v>
      </c>
      <c r="J336" s="27">
        <f>NT_I!I48</f>
        <v>0</v>
      </c>
      <c r="K336" s="27">
        <f>NT_I!J48</f>
        <v>0</v>
      </c>
    </row>
    <row r="337" spans="4:11" x14ac:dyDescent="0.2">
      <c r="D337" s="4" t="s">
        <v>556</v>
      </c>
      <c r="E337" s="4">
        <v>4</v>
      </c>
      <c r="F337" s="4">
        <f>NT_I!G49</f>
        <v>39</v>
      </c>
      <c r="G337" s="4" t="str">
        <f>IF(NT_I!H49&lt;&gt;"",NT_I!H49,"")</f>
        <v/>
      </c>
      <c r="H337" s="26">
        <f t="shared" si="18"/>
        <v>0</v>
      </c>
      <c r="I337" s="4">
        <f t="shared" si="19"/>
        <v>0</v>
      </c>
      <c r="J337" s="27">
        <f>NT_I!I49</f>
        <v>0</v>
      </c>
      <c r="K337" s="27">
        <f>NT_I!J49</f>
        <v>0</v>
      </c>
    </row>
    <row r="338" spans="4:11" x14ac:dyDescent="0.2">
      <c r="D338" s="4" t="s">
        <v>556</v>
      </c>
      <c r="E338" s="4">
        <v>4</v>
      </c>
      <c r="F338" s="4">
        <f>NT_I!G50</f>
        <v>40</v>
      </c>
      <c r="G338" s="4" t="str">
        <f>IF(NT_I!H50&lt;&gt;"",NT_I!H50,"")</f>
        <v/>
      </c>
      <c r="H338" s="26">
        <f t="shared" si="18"/>
        <v>0</v>
      </c>
      <c r="I338" s="4">
        <f t="shared" si="19"/>
        <v>0</v>
      </c>
      <c r="J338" s="27">
        <f>NT_I!I50</f>
        <v>0</v>
      </c>
      <c r="K338" s="27">
        <f>NT_I!J50</f>
        <v>0</v>
      </c>
    </row>
    <row r="339" spans="4:11" x14ac:dyDescent="0.2">
      <c r="D339" s="4" t="s">
        <v>556</v>
      </c>
      <c r="E339" s="4">
        <v>4</v>
      </c>
      <c r="F339" s="4">
        <f>NT_I!G51</f>
        <v>41</v>
      </c>
      <c r="G339" s="4" t="str">
        <f>IF(NT_I!H51&lt;&gt;"",NT_I!H51,"")</f>
        <v/>
      </c>
      <c r="H339" s="26">
        <f t="shared" si="18"/>
        <v>0</v>
      </c>
      <c r="I339" s="4">
        <f t="shared" si="19"/>
        <v>0</v>
      </c>
      <c r="J339" s="27">
        <f>NT_I!I51</f>
        <v>0</v>
      </c>
      <c r="K339" s="27">
        <f>NT_I!J51</f>
        <v>0</v>
      </c>
    </row>
    <row r="340" spans="4:11" x14ac:dyDescent="0.2">
      <c r="D340" s="4" t="s">
        <v>556</v>
      </c>
      <c r="E340" s="4">
        <v>4</v>
      </c>
      <c r="F340" s="4">
        <f>NT_I!G52</f>
        <v>42</v>
      </c>
      <c r="G340" s="4" t="str">
        <f>IF(NT_I!H52&lt;&gt;"",NT_I!H52,"")</f>
        <v/>
      </c>
      <c r="H340" s="26">
        <f t="shared" si="18"/>
        <v>0</v>
      </c>
      <c r="I340" s="4">
        <f t="shared" si="19"/>
        <v>0</v>
      </c>
      <c r="J340" s="27">
        <f>NT_I!I52</f>
        <v>0</v>
      </c>
      <c r="K340" s="27">
        <f>NT_I!J52</f>
        <v>0</v>
      </c>
    </row>
    <row r="341" spans="4:11" x14ac:dyDescent="0.2">
      <c r="D341" s="4" t="s">
        <v>556</v>
      </c>
      <c r="E341" s="4">
        <v>4</v>
      </c>
      <c r="F341" s="4">
        <f>NT_I!G53</f>
        <v>43</v>
      </c>
      <c r="G341" s="4" t="str">
        <f>IF(NT_I!H53&lt;&gt;"",NT_I!H53,"")</f>
        <v/>
      </c>
      <c r="H341" s="26">
        <f t="shared" ref="H341:H348" si="20">J341/100*F341+2*K341/100*F341</f>
        <v>0</v>
      </c>
      <c r="I341" s="4">
        <f t="shared" ref="I341:I348" si="21">ABS(ROUND(J341,0)-J341)+ABS(ROUND(K341,0)-K341)</f>
        <v>0</v>
      </c>
      <c r="J341" s="27">
        <f>NT_I!I53</f>
        <v>0</v>
      </c>
      <c r="K341" s="27">
        <f>NT_I!J53</f>
        <v>0</v>
      </c>
    </row>
    <row r="342" spans="4:11" x14ac:dyDescent="0.2">
      <c r="D342" s="4" t="s">
        <v>556</v>
      </c>
      <c r="E342" s="4">
        <v>4</v>
      </c>
      <c r="F342" s="4">
        <f>NT_I!G54</f>
        <v>44</v>
      </c>
      <c r="G342" s="4" t="str">
        <f>IF(NT_I!H54&lt;&gt;"",NT_I!H54,"")</f>
        <v/>
      </c>
      <c r="H342" s="26">
        <f t="shared" si="20"/>
        <v>0</v>
      </c>
      <c r="I342" s="4">
        <f t="shared" si="21"/>
        <v>0</v>
      </c>
      <c r="J342" s="27">
        <f>NT_I!I54</f>
        <v>0</v>
      </c>
      <c r="K342" s="27">
        <f>NT_I!J54</f>
        <v>0</v>
      </c>
    </row>
    <row r="343" spans="4:11" x14ac:dyDescent="0.2">
      <c r="D343" s="4" t="s">
        <v>556</v>
      </c>
      <c r="E343" s="4">
        <v>4</v>
      </c>
      <c r="F343" s="4">
        <f>NT_I!G55</f>
        <v>45</v>
      </c>
      <c r="G343" s="4" t="str">
        <f>IF(NT_I!H55&lt;&gt;"",NT_I!H55,"")</f>
        <v/>
      </c>
      <c r="H343" s="26">
        <f t="shared" si="20"/>
        <v>0</v>
      </c>
      <c r="I343" s="4">
        <f t="shared" si="21"/>
        <v>0</v>
      </c>
      <c r="J343" s="27">
        <f>NT_I!I55</f>
        <v>0</v>
      </c>
      <c r="K343" s="27">
        <f>NT_I!J55</f>
        <v>0</v>
      </c>
    </row>
    <row r="344" spans="4:11" x14ac:dyDescent="0.2">
      <c r="D344" s="4" t="s">
        <v>556</v>
      </c>
      <c r="E344" s="4">
        <v>4</v>
      </c>
      <c r="F344" s="4">
        <f>NT_I!G56</f>
        <v>46</v>
      </c>
      <c r="G344" s="4" t="str">
        <f>IF(NT_I!H56&lt;&gt;"",NT_I!H56,"")</f>
        <v/>
      </c>
      <c r="H344" s="26">
        <f t="shared" si="20"/>
        <v>0</v>
      </c>
      <c r="I344" s="4">
        <f t="shared" si="21"/>
        <v>0</v>
      </c>
      <c r="J344" s="27">
        <f>NT_I!I56</f>
        <v>0</v>
      </c>
      <c r="K344" s="27">
        <f>NT_I!J56</f>
        <v>0</v>
      </c>
    </row>
    <row r="345" spans="4:11" x14ac:dyDescent="0.2">
      <c r="D345" s="4" t="s">
        <v>556</v>
      </c>
      <c r="E345" s="4">
        <v>4</v>
      </c>
      <c r="F345" s="4">
        <f>NT_I!G57</f>
        <v>47</v>
      </c>
      <c r="G345" s="4" t="str">
        <f>IF(NT_I!H57&lt;&gt;"",NT_I!H57,"")</f>
        <v/>
      </c>
      <c r="H345" s="26">
        <f t="shared" si="20"/>
        <v>0</v>
      </c>
      <c r="I345" s="4">
        <f t="shared" si="21"/>
        <v>0</v>
      </c>
      <c r="J345" s="27">
        <f>NT_I!I57</f>
        <v>0</v>
      </c>
      <c r="K345" s="27">
        <f>NT_I!J57</f>
        <v>0</v>
      </c>
    </row>
    <row r="346" spans="4:11" x14ac:dyDescent="0.2">
      <c r="D346" s="4" t="s">
        <v>556</v>
      </c>
      <c r="E346" s="4">
        <v>4</v>
      </c>
      <c r="F346" s="4">
        <f>NT_I!G58</f>
        <v>48</v>
      </c>
      <c r="G346" s="4" t="str">
        <f>IF(NT_I!H58&lt;&gt;"",NT_I!H58,"")</f>
        <v/>
      </c>
      <c r="H346" s="26">
        <f t="shared" si="20"/>
        <v>0</v>
      </c>
      <c r="I346" s="4">
        <f t="shared" si="21"/>
        <v>0</v>
      </c>
      <c r="J346" s="27">
        <f>NT_I!I58</f>
        <v>0</v>
      </c>
      <c r="K346" s="27">
        <f>NT_I!J58</f>
        <v>0</v>
      </c>
    </row>
    <row r="347" spans="4:11" x14ac:dyDescent="0.2">
      <c r="D347" s="4" t="s">
        <v>556</v>
      </c>
      <c r="E347" s="4">
        <v>4</v>
      </c>
      <c r="F347" s="4">
        <f>NT_I!G59</f>
        <v>49</v>
      </c>
      <c r="G347" s="4" t="str">
        <f>IF(NT_I!H59&lt;&gt;"",NT_I!H59,"")</f>
        <v/>
      </c>
      <c r="H347" s="26">
        <f t="shared" si="20"/>
        <v>0</v>
      </c>
      <c r="I347" s="4">
        <f t="shared" si="21"/>
        <v>0</v>
      </c>
      <c r="J347" s="27">
        <f>NT_I!I59</f>
        <v>0</v>
      </c>
      <c r="K347" s="27">
        <f>NT_I!J59</f>
        <v>0</v>
      </c>
    </row>
    <row r="348" spans="4:11" x14ac:dyDescent="0.2">
      <c r="D348" s="4" t="s">
        <v>556</v>
      </c>
      <c r="E348" s="4">
        <v>4</v>
      </c>
      <c r="F348" s="4">
        <f>NT_I!G60</f>
        <v>50</v>
      </c>
      <c r="G348" s="4" t="str">
        <f>IF(NT_I!H60&lt;&gt;"",NT_I!H60,"")</f>
        <v/>
      </c>
      <c r="H348" s="26">
        <f t="shared" si="20"/>
        <v>0</v>
      </c>
      <c r="I348" s="4">
        <f t="shared" si="21"/>
        <v>0</v>
      </c>
      <c r="J348" s="27">
        <f>NT_I!I60</f>
        <v>0</v>
      </c>
      <c r="K348" s="27">
        <f>NT_I!J60</f>
        <v>0</v>
      </c>
    </row>
    <row r="349" spans="4:11" x14ac:dyDescent="0.2">
      <c r="D349" s="4" t="s">
        <v>557</v>
      </c>
      <c r="E349" s="4">
        <v>5</v>
      </c>
      <c r="F349" s="28">
        <f>NT_D!G9</f>
        <v>1</v>
      </c>
      <c r="G349" s="28" t="str">
        <f>IF(NT_D!H9&lt;&gt;"",NT_D!H9,"")</f>
        <v/>
      </c>
      <c r="H349" s="26">
        <f>J349/100*F349+2*K349/100*F349</f>
        <v>0</v>
      </c>
      <c r="I349" s="4">
        <f>ABS(ROUND(J349,0)-J349)+ABS(ROUND(K349,0)-K349)</f>
        <v>0</v>
      </c>
      <c r="J349" s="27">
        <f>NT_D!I9</f>
        <v>0</v>
      </c>
      <c r="K349" s="27">
        <f>NT_D!J9</f>
        <v>0</v>
      </c>
    </row>
    <row r="350" spans="4:11" x14ac:dyDescent="0.2">
      <c r="D350" s="4" t="s">
        <v>557</v>
      </c>
      <c r="E350" s="4">
        <v>5</v>
      </c>
      <c r="F350" s="28">
        <f>NT_D!G10</f>
        <v>2</v>
      </c>
      <c r="G350" s="28" t="str">
        <f>IF(NT_D!H10&lt;&gt;"",NT_D!H10,"")</f>
        <v/>
      </c>
      <c r="H350" s="26">
        <f>J350/100*F350+2*K350/100*F350</f>
        <v>0</v>
      </c>
      <c r="I350" s="4">
        <f>ABS(ROUND(J350,0)-J350)+ABS(ROUND(K350,0)-K350)</f>
        <v>0</v>
      </c>
      <c r="J350" s="27">
        <f>NT_D!I10</f>
        <v>0</v>
      </c>
      <c r="K350" s="27">
        <f>NT_D!J10</f>
        <v>0</v>
      </c>
    </row>
    <row r="351" spans="4:11" x14ac:dyDescent="0.2">
      <c r="D351" s="4" t="s">
        <v>557</v>
      </c>
      <c r="E351" s="4">
        <v>5</v>
      </c>
      <c r="F351" s="28">
        <f>NT_D!G11</f>
        <v>3</v>
      </c>
      <c r="G351" s="28" t="str">
        <f>IF(NT_D!H11&lt;&gt;"",NT_D!H11,"")</f>
        <v/>
      </c>
      <c r="H351" s="26">
        <f t="shared" ref="H351:H392" si="22">J351/100*F351+2*K351/100*F351</f>
        <v>0</v>
      </c>
      <c r="I351" s="4">
        <f t="shared" ref="I351:I392" si="23">ABS(ROUND(J351,0)-J351)+ABS(ROUND(K351,0)-K351)</f>
        <v>0</v>
      </c>
      <c r="J351" s="27">
        <f>NT_D!I11</f>
        <v>0</v>
      </c>
      <c r="K351" s="27">
        <f>NT_D!J11</f>
        <v>0</v>
      </c>
    </row>
    <row r="352" spans="4:11" x14ac:dyDescent="0.2">
      <c r="D352" s="4" t="s">
        <v>557</v>
      </c>
      <c r="E352" s="4">
        <v>5</v>
      </c>
      <c r="F352" s="28">
        <f>NT_D!G12</f>
        <v>4</v>
      </c>
      <c r="G352" s="28" t="str">
        <f>IF(NT_D!H12&lt;&gt;"",NT_D!H12,"")</f>
        <v/>
      </c>
      <c r="H352" s="26">
        <f t="shared" si="22"/>
        <v>0</v>
      </c>
      <c r="I352" s="4">
        <f t="shared" si="23"/>
        <v>0</v>
      </c>
      <c r="J352" s="27">
        <f>NT_D!I12</f>
        <v>0</v>
      </c>
      <c r="K352" s="27">
        <f>NT_D!J12</f>
        <v>0</v>
      </c>
    </row>
    <row r="353" spans="4:11" x14ac:dyDescent="0.2">
      <c r="D353" s="4" t="s">
        <v>557</v>
      </c>
      <c r="E353" s="4">
        <v>5</v>
      </c>
      <c r="F353" s="28">
        <f>NT_D!G13</f>
        <v>5</v>
      </c>
      <c r="G353" s="28" t="str">
        <f>IF(NT_D!H13&lt;&gt;"",NT_D!H13,"")</f>
        <v/>
      </c>
      <c r="H353" s="26">
        <f t="shared" si="22"/>
        <v>0</v>
      </c>
      <c r="I353" s="4">
        <f t="shared" si="23"/>
        <v>0</v>
      </c>
      <c r="J353" s="27">
        <f>NT_D!I13</f>
        <v>0</v>
      </c>
      <c r="K353" s="27">
        <f>NT_D!J13</f>
        <v>0</v>
      </c>
    </row>
    <row r="354" spans="4:11" x14ac:dyDescent="0.2">
      <c r="D354" s="4" t="s">
        <v>557</v>
      </c>
      <c r="E354" s="4">
        <v>5</v>
      </c>
      <c r="F354" s="28">
        <f>NT_D!G14</f>
        <v>6</v>
      </c>
      <c r="G354" s="28" t="str">
        <f>IF(NT_D!H14&lt;&gt;"",NT_D!H14,"")</f>
        <v/>
      </c>
      <c r="H354" s="26">
        <f t="shared" si="22"/>
        <v>0</v>
      </c>
      <c r="I354" s="4">
        <f t="shared" si="23"/>
        <v>0</v>
      </c>
      <c r="J354" s="27">
        <f>NT_D!I14</f>
        <v>0</v>
      </c>
      <c r="K354" s="27">
        <f>NT_D!J14</f>
        <v>0</v>
      </c>
    </row>
    <row r="355" spans="4:11" x14ac:dyDescent="0.2">
      <c r="D355" s="4" t="s">
        <v>557</v>
      </c>
      <c r="E355" s="4">
        <v>5</v>
      </c>
      <c r="F355" s="28">
        <f>NT_D!G15</f>
        <v>7</v>
      </c>
      <c r="G355" s="28" t="str">
        <f>IF(NT_D!H15&lt;&gt;"",NT_D!H15,"")</f>
        <v/>
      </c>
      <c r="H355" s="26">
        <f t="shared" si="22"/>
        <v>0</v>
      </c>
      <c r="I355" s="4">
        <f t="shared" si="23"/>
        <v>0</v>
      </c>
      <c r="J355" s="27">
        <f>NT_D!I15</f>
        <v>0</v>
      </c>
      <c r="K355" s="27">
        <f>NT_D!J15</f>
        <v>0</v>
      </c>
    </row>
    <row r="356" spans="4:11" x14ac:dyDescent="0.2">
      <c r="D356" s="4" t="s">
        <v>557</v>
      </c>
      <c r="E356" s="4">
        <v>5</v>
      </c>
      <c r="F356" s="28">
        <f>NT_D!G16</f>
        <v>8</v>
      </c>
      <c r="G356" s="28" t="str">
        <f>IF(NT_D!H16&lt;&gt;"",NT_D!H16,"")</f>
        <v/>
      </c>
      <c r="H356" s="26">
        <f t="shared" si="22"/>
        <v>0</v>
      </c>
      <c r="I356" s="4">
        <f t="shared" si="23"/>
        <v>0</v>
      </c>
      <c r="J356" s="27">
        <f>NT_D!I16</f>
        <v>0</v>
      </c>
      <c r="K356" s="27">
        <f>NT_D!J16</f>
        <v>0</v>
      </c>
    </row>
    <row r="357" spans="4:11" x14ac:dyDescent="0.2">
      <c r="D357" s="4" t="s">
        <v>557</v>
      </c>
      <c r="E357" s="4">
        <v>5</v>
      </c>
      <c r="F357" s="28">
        <f>NT_D!G17</f>
        <v>9</v>
      </c>
      <c r="G357" s="28" t="str">
        <f>IF(NT_D!H17&lt;&gt;"",NT_D!H17,"")</f>
        <v/>
      </c>
      <c r="H357" s="26">
        <f t="shared" si="22"/>
        <v>0</v>
      </c>
      <c r="I357" s="4">
        <f t="shared" si="23"/>
        <v>0</v>
      </c>
      <c r="J357" s="27">
        <f>NT_D!I17</f>
        <v>0</v>
      </c>
      <c r="K357" s="27">
        <f>NT_D!J17</f>
        <v>0</v>
      </c>
    </row>
    <row r="358" spans="4:11" x14ac:dyDescent="0.2">
      <c r="D358" s="4" t="s">
        <v>557</v>
      </c>
      <c r="E358" s="4">
        <v>5</v>
      </c>
      <c r="F358" s="28">
        <f>NT_D!G18</f>
        <v>10</v>
      </c>
      <c r="G358" s="28" t="str">
        <f>IF(NT_D!H18&lt;&gt;"",NT_D!H18,"")</f>
        <v/>
      </c>
      <c r="H358" s="26">
        <f t="shared" si="22"/>
        <v>0</v>
      </c>
      <c r="I358" s="4">
        <f t="shared" si="23"/>
        <v>0</v>
      </c>
      <c r="J358" s="27">
        <f>NT_D!I18</f>
        <v>0</v>
      </c>
      <c r="K358" s="27">
        <f>NT_D!J18</f>
        <v>0</v>
      </c>
    </row>
    <row r="359" spans="4:11" x14ac:dyDescent="0.2">
      <c r="D359" s="4" t="s">
        <v>557</v>
      </c>
      <c r="E359" s="4">
        <v>5</v>
      </c>
      <c r="F359" s="28">
        <f>NT_D!G19</f>
        <v>11</v>
      </c>
      <c r="G359" s="28" t="str">
        <f>IF(NT_D!H19&lt;&gt;"",NT_D!H19,"")</f>
        <v/>
      </c>
      <c r="H359" s="26">
        <f t="shared" si="22"/>
        <v>0</v>
      </c>
      <c r="I359" s="4">
        <f t="shared" si="23"/>
        <v>0</v>
      </c>
      <c r="J359" s="27">
        <f>NT_D!I19</f>
        <v>0</v>
      </c>
      <c r="K359" s="27">
        <f>NT_D!J19</f>
        <v>0</v>
      </c>
    </row>
    <row r="360" spans="4:11" x14ac:dyDescent="0.2">
      <c r="D360" s="4" t="s">
        <v>557</v>
      </c>
      <c r="E360" s="4">
        <v>5</v>
      </c>
      <c r="F360" s="28">
        <f>NT_D!G20</f>
        <v>12</v>
      </c>
      <c r="G360" s="28" t="str">
        <f>IF(NT_D!H20&lt;&gt;"",NT_D!H20,"")</f>
        <v/>
      </c>
      <c r="H360" s="26">
        <f t="shared" si="22"/>
        <v>0</v>
      </c>
      <c r="I360" s="4">
        <f t="shared" si="23"/>
        <v>0</v>
      </c>
      <c r="J360" s="27">
        <f>NT_D!I20</f>
        <v>0</v>
      </c>
      <c r="K360" s="27">
        <f>NT_D!J20</f>
        <v>0</v>
      </c>
    </row>
    <row r="361" spans="4:11" x14ac:dyDescent="0.2">
      <c r="D361" s="4" t="s">
        <v>557</v>
      </c>
      <c r="E361" s="4">
        <v>5</v>
      </c>
      <c r="F361" s="28">
        <f>NT_D!G21</f>
        <v>13</v>
      </c>
      <c r="G361" s="28" t="str">
        <f>IF(NT_D!H21&lt;&gt;"",NT_D!H21,"")</f>
        <v/>
      </c>
      <c r="H361" s="26">
        <f t="shared" si="22"/>
        <v>0</v>
      </c>
      <c r="I361" s="4">
        <f t="shared" si="23"/>
        <v>0</v>
      </c>
      <c r="J361" s="27">
        <f>NT_D!I21</f>
        <v>0</v>
      </c>
      <c r="K361" s="27">
        <f>NT_D!J21</f>
        <v>0</v>
      </c>
    </row>
    <row r="362" spans="4:11" x14ac:dyDescent="0.2">
      <c r="D362" s="4" t="s">
        <v>557</v>
      </c>
      <c r="E362" s="4">
        <v>5</v>
      </c>
      <c r="F362" s="28">
        <f>NT_D!G22</f>
        <v>14</v>
      </c>
      <c r="G362" s="28" t="str">
        <f>IF(NT_D!H22&lt;&gt;"",NT_D!H22,"")</f>
        <v/>
      </c>
      <c r="H362" s="26">
        <f t="shared" si="22"/>
        <v>0</v>
      </c>
      <c r="I362" s="4">
        <f t="shared" si="23"/>
        <v>0</v>
      </c>
      <c r="J362" s="27">
        <f>NT_D!I22</f>
        <v>0</v>
      </c>
      <c r="K362" s="27">
        <f>NT_D!J22</f>
        <v>0</v>
      </c>
    </row>
    <row r="363" spans="4:11" x14ac:dyDescent="0.2">
      <c r="D363" s="4" t="s">
        <v>557</v>
      </c>
      <c r="E363" s="4">
        <v>5</v>
      </c>
      <c r="F363" s="28">
        <f>NT_D!G24</f>
        <v>15</v>
      </c>
      <c r="G363" s="28" t="str">
        <f>IF(NT_D!H24&lt;&gt;"",NT_D!H24,"")</f>
        <v/>
      </c>
      <c r="H363" s="26">
        <f t="shared" si="22"/>
        <v>0</v>
      </c>
      <c r="I363" s="4">
        <f t="shared" si="23"/>
        <v>0</v>
      </c>
      <c r="J363" s="27">
        <f>NT_D!I24</f>
        <v>0</v>
      </c>
      <c r="K363" s="27">
        <f>NT_D!J24</f>
        <v>0</v>
      </c>
    </row>
    <row r="364" spans="4:11" x14ac:dyDescent="0.2">
      <c r="D364" s="4" t="s">
        <v>557</v>
      </c>
      <c r="E364" s="4">
        <v>5</v>
      </c>
      <c r="F364" s="28">
        <f>NT_D!G25</f>
        <v>16</v>
      </c>
      <c r="G364" s="28" t="str">
        <f>IF(NT_D!H25&lt;&gt;"",NT_D!H25,"")</f>
        <v/>
      </c>
      <c r="H364" s="26">
        <f t="shared" si="22"/>
        <v>0</v>
      </c>
      <c r="I364" s="4">
        <f t="shared" si="23"/>
        <v>0</v>
      </c>
      <c r="J364" s="27">
        <f>NT_D!I25</f>
        <v>0</v>
      </c>
      <c r="K364" s="27">
        <f>NT_D!J25</f>
        <v>0</v>
      </c>
    </row>
    <row r="365" spans="4:11" x14ac:dyDescent="0.2">
      <c r="D365" s="4" t="s">
        <v>557</v>
      </c>
      <c r="E365" s="4">
        <v>5</v>
      </c>
      <c r="F365" s="28">
        <f>NT_D!G26</f>
        <v>17</v>
      </c>
      <c r="G365" s="28" t="str">
        <f>IF(NT_D!H26&lt;&gt;"",NT_D!H26,"")</f>
        <v/>
      </c>
      <c r="H365" s="26">
        <f t="shared" si="22"/>
        <v>0</v>
      </c>
      <c r="I365" s="4">
        <f t="shared" si="23"/>
        <v>0</v>
      </c>
      <c r="J365" s="27">
        <f>NT_D!I26</f>
        <v>0</v>
      </c>
      <c r="K365" s="27">
        <f>NT_D!J26</f>
        <v>0</v>
      </c>
    </row>
    <row r="366" spans="4:11" x14ac:dyDescent="0.2">
      <c r="D366" s="4" t="s">
        <v>557</v>
      </c>
      <c r="E366" s="4">
        <v>5</v>
      </c>
      <c r="F366" s="28">
        <f>NT_D!G27</f>
        <v>18</v>
      </c>
      <c r="G366" s="28" t="str">
        <f>IF(NT_D!H27&lt;&gt;"",NT_D!H27,"")</f>
        <v/>
      </c>
      <c r="H366" s="26">
        <f t="shared" si="22"/>
        <v>0</v>
      </c>
      <c r="I366" s="4">
        <f t="shared" si="23"/>
        <v>0</v>
      </c>
      <c r="J366" s="27">
        <f>NT_D!I27</f>
        <v>0</v>
      </c>
      <c r="K366" s="27">
        <f>NT_D!J27</f>
        <v>0</v>
      </c>
    </row>
    <row r="367" spans="4:11" x14ac:dyDescent="0.2">
      <c r="D367" s="4" t="s">
        <v>557</v>
      </c>
      <c r="E367" s="4">
        <v>5</v>
      </c>
      <c r="F367" s="28">
        <f>NT_D!G28</f>
        <v>19</v>
      </c>
      <c r="G367" s="28" t="str">
        <f>IF(NT_D!H28&lt;&gt;"",NT_D!H28,"")</f>
        <v/>
      </c>
      <c r="H367" s="26">
        <f t="shared" si="22"/>
        <v>0</v>
      </c>
      <c r="I367" s="4">
        <f t="shared" si="23"/>
        <v>0</v>
      </c>
      <c r="J367" s="27">
        <f>NT_D!I28</f>
        <v>0</v>
      </c>
      <c r="K367" s="27">
        <f>NT_D!J28</f>
        <v>0</v>
      </c>
    </row>
    <row r="368" spans="4:11" x14ac:dyDescent="0.2">
      <c r="D368" s="4" t="s">
        <v>557</v>
      </c>
      <c r="E368" s="4">
        <v>5</v>
      </c>
      <c r="F368" s="28">
        <f>NT_D!G29</f>
        <v>20</v>
      </c>
      <c r="G368" s="28" t="str">
        <f>IF(NT_D!H29&lt;&gt;"",NT_D!H29,"")</f>
        <v/>
      </c>
      <c r="H368" s="26">
        <f t="shared" si="22"/>
        <v>0</v>
      </c>
      <c r="I368" s="4">
        <f t="shared" si="23"/>
        <v>0</v>
      </c>
      <c r="J368" s="27">
        <f>NT_D!I29</f>
        <v>0</v>
      </c>
      <c r="K368" s="27">
        <f>NT_D!J29</f>
        <v>0</v>
      </c>
    </row>
    <row r="369" spans="4:11" x14ac:dyDescent="0.2">
      <c r="D369" s="4" t="s">
        <v>557</v>
      </c>
      <c r="E369" s="4">
        <v>5</v>
      </c>
      <c r="F369" s="28">
        <f>NT_D!G30</f>
        <v>21</v>
      </c>
      <c r="G369" s="28" t="str">
        <f>IF(NT_D!H30&lt;&gt;"",NT_D!H30,"")</f>
        <v/>
      </c>
      <c r="H369" s="26">
        <f t="shared" si="22"/>
        <v>0</v>
      </c>
      <c r="I369" s="4">
        <f t="shared" si="23"/>
        <v>0</v>
      </c>
      <c r="J369" s="27">
        <f>NT_D!I30</f>
        <v>0</v>
      </c>
      <c r="K369" s="27">
        <f>NT_D!J30</f>
        <v>0</v>
      </c>
    </row>
    <row r="370" spans="4:11" x14ac:dyDescent="0.2">
      <c r="D370" s="4" t="s">
        <v>557</v>
      </c>
      <c r="E370" s="4">
        <v>5</v>
      </c>
      <c r="F370" s="28">
        <f>NT_D!G31</f>
        <v>22</v>
      </c>
      <c r="G370" s="28" t="str">
        <f>IF(NT_D!H31&lt;&gt;"",NT_D!H31,"")</f>
        <v/>
      </c>
      <c r="H370" s="26">
        <f t="shared" si="22"/>
        <v>0</v>
      </c>
      <c r="I370" s="4">
        <f t="shared" si="23"/>
        <v>0</v>
      </c>
      <c r="J370" s="27">
        <f>NT_D!I31</f>
        <v>0</v>
      </c>
      <c r="K370" s="27">
        <f>NT_D!J31</f>
        <v>0</v>
      </c>
    </row>
    <row r="371" spans="4:11" x14ac:dyDescent="0.2">
      <c r="D371" s="4" t="s">
        <v>557</v>
      </c>
      <c r="E371" s="4">
        <v>5</v>
      </c>
      <c r="F371" s="28">
        <f>NT_D!G32</f>
        <v>23</v>
      </c>
      <c r="G371" s="28" t="str">
        <f>IF(NT_D!H32&lt;&gt;"",NT_D!H32,"")</f>
        <v/>
      </c>
      <c r="H371" s="26">
        <f t="shared" si="22"/>
        <v>0</v>
      </c>
      <c r="I371" s="4">
        <f t="shared" si="23"/>
        <v>0</v>
      </c>
      <c r="J371" s="27">
        <f>NT_D!I32</f>
        <v>0</v>
      </c>
      <c r="K371" s="27">
        <f>NT_D!J32</f>
        <v>0</v>
      </c>
    </row>
    <row r="372" spans="4:11" x14ac:dyDescent="0.2">
      <c r="D372" s="4" t="s">
        <v>557</v>
      </c>
      <c r="E372" s="4">
        <v>5</v>
      </c>
      <c r="F372" s="28">
        <f>NT_D!G33</f>
        <v>24</v>
      </c>
      <c r="G372" s="28" t="str">
        <f>IF(NT_D!H33&lt;&gt;"",NT_D!H33,"")</f>
        <v/>
      </c>
      <c r="H372" s="26">
        <f t="shared" si="22"/>
        <v>0</v>
      </c>
      <c r="I372" s="4">
        <f t="shared" si="23"/>
        <v>0</v>
      </c>
      <c r="J372" s="27">
        <f>NT_D!I33</f>
        <v>0</v>
      </c>
      <c r="K372" s="27">
        <f>NT_D!J33</f>
        <v>0</v>
      </c>
    </row>
    <row r="373" spans="4:11" x14ac:dyDescent="0.2">
      <c r="D373" s="4" t="s">
        <v>557</v>
      </c>
      <c r="E373" s="4">
        <v>5</v>
      </c>
      <c r="F373" s="28">
        <f>NT_D!G34</f>
        <v>25</v>
      </c>
      <c r="G373" s="28" t="str">
        <f>IF(NT_D!H34&lt;&gt;"",NT_D!H34,"")</f>
        <v/>
      </c>
      <c r="H373" s="26">
        <f t="shared" si="22"/>
        <v>0</v>
      </c>
      <c r="I373" s="4">
        <f t="shared" si="23"/>
        <v>0</v>
      </c>
      <c r="J373" s="27">
        <f>NT_D!I34</f>
        <v>0</v>
      </c>
      <c r="K373" s="27">
        <f>NT_D!J34</f>
        <v>0</v>
      </c>
    </row>
    <row r="374" spans="4:11" x14ac:dyDescent="0.2">
      <c r="D374" s="4" t="s">
        <v>557</v>
      </c>
      <c r="E374" s="4">
        <v>5</v>
      </c>
      <c r="F374" s="28">
        <f>NT_D!G35</f>
        <v>26</v>
      </c>
      <c r="G374" s="28" t="str">
        <f>IF(NT_D!H35&lt;&gt;"",NT_D!H35,"")</f>
        <v/>
      </c>
      <c r="H374" s="26">
        <f t="shared" si="22"/>
        <v>0</v>
      </c>
      <c r="I374" s="4">
        <f t="shared" si="23"/>
        <v>0</v>
      </c>
      <c r="J374" s="27">
        <f>NT_D!I35</f>
        <v>0</v>
      </c>
      <c r="K374" s="27">
        <f>NT_D!J35</f>
        <v>0</v>
      </c>
    </row>
    <row r="375" spans="4:11" x14ac:dyDescent="0.2">
      <c r="D375" s="4" t="s">
        <v>557</v>
      </c>
      <c r="E375" s="4">
        <v>5</v>
      </c>
      <c r="F375" s="28">
        <f>NT_D!G36</f>
        <v>27</v>
      </c>
      <c r="G375" s="28" t="str">
        <f>IF(NT_D!H36&lt;&gt;"",NT_D!H36,"")</f>
        <v/>
      </c>
      <c r="H375" s="26">
        <f t="shared" si="22"/>
        <v>0</v>
      </c>
      <c r="I375" s="4">
        <f t="shared" si="23"/>
        <v>0</v>
      </c>
      <c r="J375" s="27">
        <f>NT_D!I36</f>
        <v>0</v>
      </c>
      <c r="K375" s="27">
        <f>NT_D!J36</f>
        <v>0</v>
      </c>
    </row>
    <row r="376" spans="4:11" x14ac:dyDescent="0.2">
      <c r="D376" s="4" t="s">
        <v>557</v>
      </c>
      <c r="E376" s="4">
        <v>5</v>
      </c>
      <c r="F376" s="28">
        <f>NT_D!G37</f>
        <v>28</v>
      </c>
      <c r="G376" s="28" t="str">
        <f>IF(NT_D!H37&lt;&gt;"",NT_D!H37,"")</f>
        <v/>
      </c>
      <c r="H376" s="26">
        <f t="shared" si="22"/>
        <v>0</v>
      </c>
      <c r="I376" s="4">
        <f t="shared" si="23"/>
        <v>0</v>
      </c>
      <c r="J376" s="27">
        <f>NT_D!I37</f>
        <v>0</v>
      </c>
      <c r="K376" s="27">
        <f>NT_D!J37</f>
        <v>0</v>
      </c>
    </row>
    <row r="377" spans="4:11" x14ac:dyDescent="0.2">
      <c r="D377" s="4" t="s">
        <v>557</v>
      </c>
      <c r="E377" s="4">
        <v>5</v>
      </c>
      <c r="F377" s="28">
        <f>NT_D!G39</f>
        <v>29</v>
      </c>
      <c r="G377" s="28" t="str">
        <f>IF(NT_D!H39&lt;&gt;"",NT_D!H39,"")</f>
        <v/>
      </c>
      <c r="H377" s="26">
        <f t="shared" si="22"/>
        <v>0</v>
      </c>
      <c r="I377" s="4">
        <f t="shared" si="23"/>
        <v>0</v>
      </c>
      <c r="J377" s="27">
        <f>NT_D!I39</f>
        <v>0</v>
      </c>
      <c r="K377" s="27">
        <f>NT_D!J39</f>
        <v>0</v>
      </c>
    </row>
    <row r="378" spans="4:11" x14ac:dyDescent="0.2">
      <c r="D378" s="4" t="s">
        <v>557</v>
      </c>
      <c r="E378" s="4">
        <v>5</v>
      </c>
      <c r="F378" s="28">
        <f>NT_D!G40</f>
        <v>30</v>
      </c>
      <c r="G378" s="28" t="str">
        <f>IF(NT_D!H40&lt;&gt;"",NT_D!H40,"")</f>
        <v/>
      </c>
      <c r="H378" s="26">
        <f t="shared" si="22"/>
        <v>0</v>
      </c>
      <c r="I378" s="4">
        <f t="shared" si="23"/>
        <v>0</v>
      </c>
      <c r="J378" s="27">
        <f>NT_D!I40</f>
        <v>0</v>
      </c>
      <c r="K378" s="27">
        <f>NT_D!J40</f>
        <v>0</v>
      </c>
    </row>
    <row r="379" spans="4:11" x14ac:dyDescent="0.2">
      <c r="D379" s="4" t="s">
        <v>557</v>
      </c>
      <c r="E379" s="4">
        <v>5</v>
      </c>
      <c r="F379" s="28">
        <f>NT_D!G41</f>
        <v>31</v>
      </c>
      <c r="G379" s="28" t="str">
        <f>IF(NT_D!H41&lt;&gt;"",NT_D!H41,"")</f>
        <v/>
      </c>
      <c r="H379" s="26">
        <f t="shared" si="22"/>
        <v>0</v>
      </c>
      <c r="I379" s="4">
        <f t="shared" si="23"/>
        <v>0</v>
      </c>
      <c r="J379" s="27">
        <f>NT_D!I41</f>
        <v>0</v>
      </c>
      <c r="K379" s="27">
        <f>NT_D!J41</f>
        <v>0</v>
      </c>
    </row>
    <row r="380" spans="4:11" x14ac:dyDescent="0.2">
      <c r="D380" s="4" t="s">
        <v>557</v>
      </c>
      <c r="E380" s="4">
        <v>5</v>
      </c>
      <c r="F380" s="28">
        <f>NT_D!G42</f>
        <v>32</v>
      </c>
      <c r="G380" s="28" t="str">
        <f>IF(NT_D!H42&lt;&gt;"",NT_D!H42,"")</f>
        <v/>
      </c>
      <c r="H380" s="26">
        <f t="shared" si="22"/>
        <v>0</v>
      </c>
      <c r="I380" s="4">
        <f t="shared" si="23"/>
        <v>0</v>
      </c>
      <c r="J380" s="27">
        <f>NT_D!I42</f>
        <v>0</v>
      </c>
      <c r="K380" s="27">
        <f>NT_D!J42</f>
        <v>0</v>
      </c>
    </row>
    <row r="381" spans="4:11" x14ac:dyDescent="0.2">
      <c r="D381" s="4" t="s">
        <v>557</v>
      </c>
      <c r="E381" s="4">
        <v>5</v>
      </c>
      <c r="F381" s="28">
        <f>NT_D!G43</f>
        <v>33</v>
      </c>
      <c r="G381" s="28" t="str">
        <f>IF(NT_D!H43&lt;&gt;"",NT_D!H43,"")</f>
        <v/>
      </c>
      <c r="H381" s="26">
        <f t="shared" si="22"/>
        <v>0</v>
      </c>
      <c r="I381" s="4">
        <f t="shared" si="23"/>
        <v>0</v>
      </c>
      <c r="J381" s="27">
        <f>NT_D!I43</f>
        <v>0</v>
      </c>
      <c r="K381" s="27">
        <f>NT_D!J43</f>
        <v>0</v>
      </c>
    </row>
    <row r="382" spans="4:11" x14ac:dyDescent="0.2">
      <c r="D382" s="4" t="s">
        <v>557</v>
      </c>
      <c r="E382" s="4">
        <v>5</v>
      </c>
      <c r="F382" s="28">
        <f>NT_D!G44</f>
        <v>34</v>
      </c>
      <c r="G382" s="28" t="str">
        <f>IF(NT_D!H44&lt;&gt;"",NT_D!H44,"")</f>
        <v/>
      </c>
      <c r="H382" s="26">
        <f t="shared" si="22"/>
        <v>0</v>
      </c>
      <c r="I382" s="4">
        <f t="shared" si="23"/>
        <v>0</v>
      </c>
      <c r="J382" s="27">
        <f>NT_D!I44</f>
        <v>0</v>
      </c>
      <c r="K382" s="27">
        <f>NT_D!J44</f>
        <v>0</v>
      </c>
    </row>
    <row r="383" spans="4:11" x14ac:dyDescent="0.2">
      <c r="D383" s="4" t="s">
        <v>557</v>
      </c>
      <c r="E383" s="4">
        <v>5</v>
      </c>
      <c r="F383" s="28">
        <f>NT_D!G45</f>
        <v>35</v>
      </c>
      <c r="G383" s="28" t="str">
        <f>IF(NT_D!H45&lt;&gt;"",NT_D!H45,"")</f>
        <v/>
      </c>
      <c r="H383" s="26">
        <f t="shared" si="22"/>
        <v>0</v>
      </c>
      <c r="I383" s="4">
        <f t="shared" si="23"/>
        <v>0</v>
      </c>
      <c r="J383" s="27">
        <f>NT_D!I45</f>
        <v>0</v>
      </c>
      <c r="K383" s="27">
        <f>NT_D!J45</f>
        <v>0</v>
      </c>
    </row>
    <row r="384" spans="4:11" x14ac:dyDescent="0.2">
      <c r="D384" s="4" t="s">
        <v>557</v>
      </c>
      <c r="E384" s="4">
        <v>5</v>
      </c>
      <c r="F384" s="28">
        <f>NT_D!G46</f>
        <v>36</v>
      </c>
      <c r="G384" s="28" t="str">
        <f>IF(NT_D!H46&lt;&gt;"",NT_D!H46,"")</f>
        <v/>
      </c>
      <c r="H384" s="26">
        <f t="shared" si="22"/>
        <v>0</v>
      </c>
      <c r="I384" s="4">
        <f t="shared" si="23"/>
        <v>0</v>
      </c>
      <c r="J384" s="27">
        <f>NT_D!I46</f>
        <v>0</v>
      </c>
      <c r="K384" s="27">
        <f>NT_D!J46</f>
        <v>0</v>
      </c>
    </row>
    <row r="385" spans="4:27" x14ac:dyDescent="0.2">
      <c r="D385" s="4" t="s">
        <v>557</v>
      </c>
      <c r="E385" s="4">
        <v>5</v>
      </c>
      <c r="F385" s="28">
        <f>NT_D!G47</f>
        <v>37</v>
      </c>
      <c r="G385" s="28" t="str">
        <f>IF(NT_D!H47&lt;&gt;"",NT_D!H47,"")</f>
        <v/>
      </c>
      <c r="H385" s="26">
        <f t="shared" si="22"/>
        <v>0</v>
      </c>
      <c r="I385" s="4">
        <f t="shared" si="23"/>
        <v>0</v>
      </c>
      <c r="J385" s="27">
        <f>NT_D!I47</f>
        <v>0</v>
      </c>
      <c r="K385" s="27">
        <f>NT_D!J47</f>
        <v>0</v>
      </c>
    </row>
    <row r="386" spans="4:27" x14ac:dyDescent="0.2">
      <c r="D386" s="4" t="s">
        <v>557</v>
      </c>
      <c r="E386" s="4">
        <v>5</v>
      </c>
      <c r="F386" s="28">
        <f>NT_D!G48</f>
        <v>38</v>
      </c>
      <c r="G386" s="28" t="str">
        <f>IF(NT_D!H48&lt;&gt;"",NT_D!H48,"")</f>
        <v/>
      </c>
      <c r="H386" s="26">
        <f t="shared" si="22"/>
        <v>0</v>
      </c>
      <c r="I386" s="4">
        <f t="shared" si="23"/>
        <v>0</v>
      </c>
      <c r="J386" s="27">
        <f>NT_D!I48</f>
        <v>0</v>
      </c>
      <c r="K386" s="27">
        <f>NT_D!J48</f>
        <v>0</v>
      </c>
    </row>
    <row r="387" spans="4:27" x14ac:dyDescent="0.2">
      <c r="D387" s="4" t="s">
        <v>557</v>
      </c>
      <c r="E387" s="4">
        <v>5</v>
      </c>
      <c r="F387" s="28">
        <f>NT_D!G49</f>
        <v>39</v>
      </c>
      <c r="G387" s="28" t="str">
        <f>IF(NT_D!H49&lt;&gt;"",NT_D!H49,"")</f>
        <v/>
      </c>
      <c r="H387" s="26">
        <f t="shared" si="22"/>
        <v>0</v>
      </c>
      <c r="I387" s="4">
        <f t="shared" si="23"/>
        <v>0</v>
      </c>
      <c r="J387" s="27">
        <f>NT_D!I49</f>
        <v>0</v>
      </c>
      <c r="K387" s="27">
        <f>NT_D!J49</f>
        <v>0</v>
      </c>
    </row>
    <row r="388" spans="4:27" x14ac:dyDescent="0.2">
      <c r="D388" s="4" t="s">
        <v>557</v>
      </c>
      <c r="E388" s="4">
        <v>5</v>
      </c>
      <c r="F388" s="28">
        <f>NT_D!G50</f>
        <v>40</v>
      </c>
      <c r="G388" s="28" t="str">
        <f>IF(NT_D!H50&lt;&gt;"",NT_D!H50,"")</f>
        <v/>
      </c>
      <c r="H388" s="26">
        <f t="shared" si="22"/>
        <v>0</v>
      </c>
      <c r="I388" s="4">
        <f t="shared" si="23"/>
        <v>0</v>
      </c>
      <c r="J388" s="27">
        <f>NT_D!I50</f>
        <v>0</v>
      </c>
      <c r="K388" s="27">
        <f>NT_D!J50</f>
        <v>0</v>
      </c>
    </row>
    <row r="389" spans="4:27" x14ac:dyDescent="0.2">
      <c r="D389" s="4" t="s">
        <v>557</v>
      </c>
      <c r="E389" s="4">
        <v>5</v>
      </c>
      <c r="F389" s="28">
        <f>NT_D!G51</f>
        <v>41</v>
      </c>
      <c r="G389" s="28" t="str">
        <f>IF(NT_D!H51&lt;&gt;"",NT_D!H51,"")</f>
        <v/>
      </c>
      <c r="H389" s="26">
        <f t="shared" si="22"/>
        <v>0</v>
      </c>
      <c r="I389" s="4">
        <f t="shared" si="23"/>
        <v>0</v>
      </c>
      <c r="J389" s="27">
        <f>NT_D!I51</f>
        <v>0</v>
      </c>
      <c r="K389" s="27">
        <f>NT_D!J51</f>
        <v>0</v>
      </c>
    </row>
    <row r="390" spans="4:27" x14ac:dyDescent="0.2">
      <c r="D390" s="4" t="s">
        <v>557</v>
      </c>
      <c r="E390" s="4">
        <v>5</v>
      </c>
      <c r="F390" s="28">
        <f>NT_D!G52</f>
        <v>42</v>
      </c>
      <c r="G390" s="28" t="str">
        <f>IF(NT_D!H52&lt;&gt;"",NT_D!H52,"")</f>
        <v/>
      </c>
      <c r="H390" s="26">
        <f t="shared" si="22"/>
        <v>0</v>
      </c>
      <c r="I390" s="4">
        <f t="shared" si="23"/>
        <v>0</v>
      </c>
      <c r="J390" s="27">
        <f>NT_D!I52</f>
        <v>0</v>
      </c>
      <c r="K390" s="27">
        <f>NT_D!J52</f>
        <v>0</v>
      </c>
    </row>
    <row r="391" spans="4:27" x14ac:dyDescent="0.2">
      <c r="D391" s="4" t="s">
        <v>557</v>
      </c>
      <c r="E391" s="4">
        <v>5</v>
      </c>
      <c r="F391" s="28">
        <f>NT_D!G53</f>
        <v>43</v>
      </c>
      <c r="G391" s="28" t="str">
        <f>IF(NT_D!H53&lt;&gt;"",NT_D!H53,"")</f>
        <v/>
      </c>
      <c r="H391" s="26">
        <f t="shared" si="22"/>
        <v>0</v>
      </c>
      <c r="I391" s="4">
        <f t="shared" si="23"/>
        <v>0</v>
      </c>
      <c r="J391" s="27">
        <f>NT_D!I53</f>
        <v>0</v>
      </c>
      <c r="K391" s="27">
        <f>NT_D!J53</f>
        <v>0</v>
      </c>
    </row>
    <row r="392" spans="4:27" x14ac:dyDescent="0.2">
      <c r="D392" s="4" t="s">
        <v>557</v>
      </c>
      <c r="E392" s="4">
        <v>5</v>
      </c>
      <c r="F392" s="28">
        <f>NT_D!G54</f>
        <v>44</v>
      </c>
      <c r="G392" s="28" t="str">
        <f>IF(NT_D!H54&lt;&gt;"",NT_D!H54,"")</f>
        <v/>
      </c>
      <c r="H392" s="26">
        <f t="shared" si="22"/>
        <v>0</v>
      </c>
      <c r="I392" s="4">
        <f t="shared" si="23"/>
        <v>0</v>
      </c>
      <c r="J392" s="27">
        <f>NT_D!I54</f>
        <v>0</v>
      </c>
      <c r="K392" s="27">
        <f>NT_D!J54</f>
        <v>0</v>
      </c>
    </row>
    <row r="393" spans="4:27" x14ac:dyDescent="0.2">
      <c r="D393" s="4" t="s">
        <v>795</v>
      </c>
      <c r="E393" s="4">
        <v>6</v>
      </c>
      <c r="F393" s="4">
        <f>PK!G10</f>
        <v>1</v>
      </c>
      <c r="G393" s="4" t="str">
        <f>IF(PK!H10&lt;&gt;"",PK!H10,"")</f>
        <v/>
      </c>
      <c r="H393" s="26">
        <f>J393/100*F393+2*K393/100*F393+3*L393/100+4*M393/100+5*N393/100+6*O393/100+7*P393/100+8*Q393/100+9*R393/100+10*S393/100+11*T393/100+12*U393/100+13*V393/100+14*W393/100+15*X393/100+16*Y393/100+17*Z393/100+18*AA393/100</f>
        <v>0</v>
      </c>
      <c r="I393" s="27">
        <f>ABS(ROUND(J393,0)-J393)+ABS(ROUND(K393,0)-K393)+ABS(ROUND(L393,0)-L393)+ABS(ROUND(M393,0)-M393)+ABS(ROUND(N393,0)-N393)+ABS(ROUND(O393,0)-O393)+ABS(ROUND(P393,0)-P393)+ABS(ROUND(Q393,0)-Q393)+ABS(ROUND(R393,0)-R393)+ABS(ROUND(S393,0)-S393)+ABS(ROUND(T393,0)-T393)+ABS(ROUND(U393,0)-U393)+ABS(ROUND(V393,0)-V393)+ABS(ROUND(W393,0)-W393)+ABS(ROUND(X393,0)-X393)+ABS(ROUND(Y393,0)-Y393)+ABS(ROUND(Z393,0)-Z393)+ABS(ROUND(AA393,0)-AA393)</f>
        <v>0</v>
      </c>
      <c r="J393" s="27">
        <f>PK!I10</f>
        <v>0</v>
      </c>
      <c r="K393" s="27">
        <f>PK!J10</f>
        <v>0</v>
      </c>
      <c r="L393" s="27">
        <f>PK!K10</f>
        <v>0</v>
      </c>
      <c r="M393" s="27">
        <f>PK!L10</f>
        <v>0</v>
      </c>
      <c r="N393" s="27">
        <f>PK!M10</f>
        <v>0</v>
      </c>
      <c r="O393" s="27">
        <f>PK!N10</f>
        <v>0</v>
      </c>
      <c r="P393" s="27">
        <f>PK!O10</f>
        <v>0</v>
      </c>
      <c r="Q393" s="27">
        <f>PK!P10</f>
        <v>0</v>
      </c>
      <c r="R393" s="27">
        <f>PK!Q10</f>
        <v>0</v>
      </c>
      <c r="S393" s="27">
        <f>PK!R10</f>
        <v>0</v>
      </c>
      <c r="T393" s="27">
        <f>PK!S10</f>
        <v>0</v>
      </c>
      <c r="U393" s="27">
        <f>PK!T10</f>
        <v>0</v>
      </c>
      <c r="V393" s="27">
        <f>PK!U10</f>
        <v>0</v>
      </c>
      <c r="W393" s="27">
        <f>PK!V10</f>
        <v>0</v>
      </c>
      <c r="X393" s="27">
        <f>PK!W10</f>
        <v>0</v>
      </c>
      <c r="Y393" s="27">
        <f>PK!X10</f>
        <v>0</v>
      </c>
      <c r="Z393" s="27">
        <f>PK!Y10</f>
        <v>0</v>
      </c>
      <c r="AA393" s="27">
        <f>PK!Z10</f>
        <v>0</v>
      </c>
    </row>
    <row r="394" spans="4:27" x14ac:dyDescent="0.2">
      <c r="D394" s="4" t="s">
        <v>795</v>
      </c>
      <c r="E394" s="4">
        <v>6</v>
      </c>
      <c r="F394" s="4">
        <f>PK!G11</f>
        <v>2</v>
      </c>
      <c r="G394" s="4" t="str">
        <f>IF(PK!H11&lt;&gt;"",PK!H11,"")</f>
        <v/>
      </c>
      <c r="H394" s="26">
        <f t="shared" ref="H394:H446" si="24">J394/100*F394+2*K394/100*F394+3*L394/100+4*M394/100+5*N394/100+6*O394/100+7*P394/100+8*Q394/100+9*R394/100+10*S394/100+11*T394/100+12*U394/100+13*V394/100+14*W394/100+15*X394/100+16*Y394/100+17*Z394/100+18*AA394/100</f>
        <v>0</v>
      </c>
      <c r="I394" s="27">
        <f t="shared" ref="I394:I446" si="25">ABS(ROUND(J394,0)-J394)+ABS(ROUND(K394,0)-K394)+ABS(ROUND(L394,0)-L394)+ABS(ROUND(M394,0)-M394)+ABS(ROUND(N394,0)-N394)+ABS(ROUND(O394,0)-O394)+ABS(ROUND(P394,0)-P394)+ABS(ROUND(Q394,0)-Q394)+ABS(ROUND(R394,0)-R394)+ABS(ROUND(S394,0)-S394)+ABS(ROUND(T394,0)-T394)+ABS(ROUND(U394,0)-U394)+ABS(ROUND(V394,0)-V394)+ABS(ROUND(W394,0)-W394)+ABS(ROUND(X394,0)-X394)+ABS(ROUND(Y394,0)-Y394)+ABS(ROUND(Z394,0)-Z394)+ABS(ROUND(AA394,0)-AA394)</f>
        <v>0</v>
      </c>
      <c r="J394" s="27">
        <f>PK!I11</f>
        <v>0</v>
      </c>
      <c r="K394" s="27">
        <f>PK!J11</f>
        <v>0</v>
      </c>
      <c r="L394" s="27">
        <f>PK!K11</f>
        <v>0</v>
      </c>
      <c r="M394" s="27">
        <f>PK!L11</f>
        <v>0</v>
      </c>
      <c r="N394" s="27">
        <f>PK!M11</f>
        <v>0</v>
      </c>
      <c r="O394" s="27">
        <f>PK!N11</f>
        <v>0</v>
      </c>
      <c r="P394" s="27">
        <f>PK!O11</f>
        <v>0</v>
      </c>
      <c r="Q394" s="27">
        <f>PK!P11</f>
        <v>0</v>
      </c>
      <c r="R394" s="27">
        <f>PK!Q11</f>
        <v>0</v>
      </c>
      <c r="S394" s="27">
        <f>PK!R11</f>
        <v>0</v>
      </c>
      <c r="T394" s="27">
        <f>PK!S11</f>
        <v>0</v>
      </c>
      <c r="U394" s="27">
        <f>PK!T11</f>
        <v>0</v>
      </c>
      <c r="V394" s="27">
        <f>PK!U11</f>
        <v>0</v>
      </c>
      <c r="W394" s="27">
        <f>PK!V11</f>
        <v>0</v>
      </c>
      <c r="X394" s="27">
        <f>PK!W11</f>
        <v>0</v>
      </c>
      <c r="Y394" s="27">
        <f>PK!X11</f>
        <v>0</v>
      </c>
      <c r="Z394" s="27">
        <f>PK!Y11</f>
        <v>0</v>
      </c>
      <c r="AA394" s="27">
        <f>PK!Z11</f>
        <v>0</v>
      </c>
    </row>
    <row r="395" spans="4:27" x14ac:dyDescent="0.2">
      <c r="D395" s="4" t="s">
        <v>795</v>
      </c>
      <c r="E395" s="4">
        <v>6</v>
      </c>
      <c r="F395" s="4">
        <f>PK!G12</f>
        <v>3</v>
      </c>
      <c r="G395" s="4" t="str">
        <f>IF(PK!H12&lt;&gt;"",PK!H12,"")</f>
        <v/>
      </c>
      <c r="H395" s="26">
        <f t="shared" si="24"/>
        <v>0</v>
      </c>
      <c r="I395" s="27">
        <f t="shared" si="25"/>
        <v>0</v>
      </c>
      <c r="J395" s="27">
        <f>PK!I12</f>
        <v>0</v>
      </c>
      <c r="K395" s="27">
        <f>PK!J12</f>
        <v>0</v>
      </c>
      <c r="L395" s="27">
        <f>PK!K12</f>
        <v>0</v>
      </c>
      <c r="M395" s="27">
        <f>PK!L12</f>
        <v>0</v>
      </c>
      <c r="N395" s="27">
        <f>PK!M12</f>
        <v>0</v>
      </c>
      <c r="O395" s="27">
        <f>PK!N12</f>
        <v>0</v>
      </c>
      <c r="P395" s="27">
        <f>PK!O12</f>
        <v>0</v>
      </c>
      <c r="Q395" s="27">
        <f>PK!P12</f>
        <v>0</v>
      </c>
      <c r="R395" s="27">
        <f>PK!Q12</f>
        <v>0</v>
      </c>
      <c r="S395" s="27">
        <f>PK!R12</f>
        <v>0</v>
      </c>
      <c r="T395" s="27">
        <f>PK!S12</f>
        <v>0</v>
      </c>
      <c r="U395" s="27">
        <f>PK!T12</f>
        <v>0</v>
      </c>
      <c r="V395" s="27">
        <f>PK!U12</f>
        <v>0</v>
      </c>
      <c r="W395" s="27">
        <f>PK!V12</f>
        <v>0</v>
      </c>
      <c r="X395" s="27">
        <f>PK!W12</f>
        <v>0</v>
      </c>
      <c r="Y395" s="27">
        <f>PK!X12</f>
        <v>0</v>
      </c>
      <c r="Z395" s="27">
        <f>PK!Y12</f>
        <v>0</v>
      </c>
      <c r="AA395" s="27">
        <f>PK!Z12</f>
        <v>0</v>
      </c>
    </row>
    <row r="396" spans="4:27" x14ac:dyDescent="0.2">
      <c r="D396" s="4" t="s">
        <v>795</v>
      </c>
      <c r="E396" s="4">
        <v>6</v>
      </c>
      <c r="F396" s="4">
        <f>PK!G13</f>
        <v>4</v>
      </c>
      <c r="G396" s="4" t="str">
        <f>IF(PK!H13&lt;&gt;"",PK!H13,"")</f>
        <v/>
      </c>
      <c r="H396" s="26">
        <f t="shared" si="24"/>
        <v>0</v>
      </c>
      <c r="I396" s="27">
        <f t="shared" si="25"/>
        <v>0</v>
      </c>
      <c r="J396" s="27">
        <f>PK!I13</f>
        <v>0</v>
      </c>
      <c r="K396" s="27">
        <f>PK!J13</f>
        <v>0</v>
      </c>
      <c r="L396" s="27">
        <f>PK!K13</f>
        <v>0</v>
      </c>
      <c r="M396" s="27">
        <f>PK!L13</f>
        <v>0</v>
      </c>
      <c r="N396" s="27">
        <f>PK!M13</f>
        <v>0</v>
      </c>
      <c r="O396" s="27">
        <f>PK!N13</f>
        <v>0</v>
      </c>
      <c r="P396" s="27">
        <f>PK!O13</f>
        <v>0</v>
      </c>
      <c r="Q396" s="27">
        <f>PK!P13</f>
        <v>0</v>
      </c>
      <c r="R396" s="27">
        <f>PK!Q13</f>
        <v>0</v>
      </c>
      <c r="S396" s="27">
        <f>PK!R13</f>
        <v>0</v>
      </c>
      <c r="T396" s="27">
        <f>PK!S13</f>
        <v>0</v>
      </c>
      <c r="U396" s="27">
        <f>PK!T13</f>
        <v>0</v>
      </c>
      <c r="V396" s="27">
        <f>PK!U13</f>
        <v>0</v>
      </c>
      <c r="W396" s="27">
        <f>PK!V13</f>
        <v>0</v>
      </c>
      <c r="X396" s="27">
        <f>PK!W13</f>
        <v>0</v>
      </c>
      <c r="Y396" s="27">
        <f>PK!X13</f>
        <v>0</v>
      </c>
      <c r="Z396" s="27">
        <f>PK!Y13</f>
        <v>0</v>
      </c>
      <c r="AA396" s="27">
        <f>PK!Z13</f>
        <v>0</v>
      </c>
    </row>
    <row r="397" spans="4:27" x14ac:dyDescent="0.2">
      <c r="D397" s="4" t="s">
        <v>795</v>
      </c>
      <c r="E397" s="4">
        <v>6</v>
      </c>
      <c r="F397" s="4">
        <f>PK!G14</f>
        <v>5</v>
      </c>
      <c r="G397" s="4" t="str">
        <f>IF(PK!H14&lt;&gt;"",PK!H14,"")</f>
        <v/>
      </c>
      <c r="H397" s="26">
        <f t="shared" si="24"/>
        <v>0</v>
      </c>
      <c r="I397" s="27">
        <f t="shared" si="25"/>
        <v>0</v>
      </c>
      <c r="J397" s="27">
        <f>PK!I14</f>
        <v>0</v>
      </c>
      <c r="K397" s="27">
        <f>PK!J14</f>
        <v>0</v>
      </c>
      <c r="L397" s="27">
        <f>PK!K14</f>
        <v>0</v>
      </c>
      <c r="M397" s="27">
        <f>PK!L14</f>
        <v>0</v>
      </c>
      <c r="N397" s="27">
        <f>PK!M14</f>
        <v>0</v>
      </c>
      <c r="O397" s="27">
        <f>PK!N14</f>
        <v>0</v>
      </c>
      <c r="P397" s="27">
        <f>PK!O14</f>
        <v>0</v>
      </c>
      <c r="Q397" s="27">
        <f>PK!P14</f>
        <v>0</v>
      </c>
      <c r="R397" s="27">
        <f>PK!Q14</f>
        <v>0</v>
      </c>
      <c r="S397" s="27">
        <f>PK!R14</f>
        <v>0</v>
      </c>
      <c r="T397" s="27">
        <f>PK!S14</f>
        <v>0</v>
      </c>
      <c r="U397" s="27">
        <f>PK!T14</f>
        <v>0</v>
      </c>
      <c r="V397" s="27">
        <f>PK!U14</f>
        <v>0</v>
      </c>
      <c r="W397" s="27">
        <f>PK!V14</f>
        <v>0</v>
      </c>
      <c r="X397" s="27">
        <f>PK!W14</f>
        <v>0</v>
      </c>
      <c r="Y397" s="27">
        <f>PK!X14</f>
        <v>0</v>
      </c>
      <c r="Z397" s="27">
        <f>PK!Y14</f>
        <v>0</v>
      </c>
      <c r="AA397" s="27">
        <f>PK!Z14</f>
        <v>0</v>
      </c>
    </row>
    <row r="398" spans="4:27" x14ac:dyDescent="0.2">
      <c r="D398" s="4" t="s">
        <v>795</v>
      </c>
      <c r="E398" s="4">
        <v>6</v>
      </c>
      <c r="F398" s="4">
        <f>PK!G15</f>
        <v>6</v>
      </c>
      <c r="G398" s="4" t="str">
        <f>IF(PK!H15&lt;&gt;"",PK!H15,"")</f>
        <v/>
      </c>
      <c r="H398" s="26">
        <f t="shared" si="24"/>
        <v>0</v>
      </c>
      <c r="I398" s="27">
        <f t="shared" si="25"/>
        <v>0</v>
      </c>
      <c r="J398" s="27">
        <f>PK!I15</f>
        <v>0</v>
      </c>
      <c r="K398" s="27">
        <f>PK!J15</f>
        <v>0</v>
      </c>
      <c r="L398" s="27">
        <f>PK!K15</f>
        <v>0</v>
      </c>
      <c r="M398" s="27">
        <f>PK!L15</f>
        <v>0</v>
      </c>
      <c r="N398" s="27">
        <f>PK!M15</f>
        <v>0</v>
      </c>
      <c r="O398" s="27">
        <f>PK!N15</f>
        <v>0</v>
      </c>
      <c r="P398" s="27">
        <f>PK!O15</f>
        <v>0</v>
      </c>
      <c r="Q398" s="27">
        <f>PK!P15</f>
        <v>0</v>
      </c>
      <c r="R398" s="27">
        <f>PK!Q15</f>
        <v>0</v>
      </c>
      <c r="S398" s="27">
        <f>PK!R15</f>
        <v>0</v>
      </c>
      <c r="T398" s="27">
        <f>PK!S15</f>
        <v>0</v>
      </c>
      <c r="U398" s="27">
        <f>PK!T15</f>
        <v>0</v>
      </c>
      <c r="V398" s="27">
        <f>PK!U15</f>
        <v>0</v>
      </c>
      <c r="W398" s="27">
        <f>PK!V15</f>
        <v>0</v>
      </c>
      <c r="X398" s="27">
        <f>PK!W15</f>
        <v>0</v>
      </c>
      <c r="Y398" s="27">
        <f>PK!X15</f>
        <v>0</v>
      </c>
      <c r="Z398" s="27">
        <f>PK!Y15</f>
        <v>0</v>
      </c>
      <c r="AA398" s="27">
        <f>PK!Z15</f>
        <v>0</v>
      </c>
    </row>
    <row r="399" spans="4:27" x14ac:dyDescent="0.2">
      <c r="D399" s="4" t="s">
        <v>795</v>
      </c>
      <c r="E399" s="4">
        <v>6</v>
      </c>
      <c r="F399" s="4">
        <f>PK!G16</f>
        <v>7</v>
      </c>
      <c r="G399" s="4" t="str">
        <f>IF(PK!H16&lt;&gt;"",PK!H16,"")</f>
        <v/>
      </c>
      <c r="H399" s="26">
        <f t="shared" si="24"/>
        <v>0</v>
      </c>
      <c r="I399" s="27">
        <f t="shared" si="25"/>
        <v>0</v>
      </c>
      <c r="J399" s="27">
        <f>PK!I16</f>
        <v>0</v>
      </c>
      <c r="K399" s="27">
        <f>PK!J16</f>
        <v>0</v>
      </c>
      <c r="L399" s="27">
        <f>PK!K16</f>
        <v>0</v>
      </c>
      <c r="M399" s="27">
        <f>PK!L16</f>
        <v>0</v>
      </c>
      <c r="N399" s="27">
        <f>PK!M16</f>
        <v>0</v>
      </c>
      <c r="O399" s="27">
        <f>PK!N16</f>
        <v>0</v>
      </c>
      <c r="P399" s="27">
        <f>PK!O16</f>
        <v>0</v>
      </c>
      <c r="Q399" s="27">
        <f>PK!P16</f>
        <v>0</v>
      </c>
      <c r="R399" s="27">
        <f>PK!Q16</f>
        <v>0</v>
      </c>
      <c r="S399" s="27">
        <f>PK!R16</f>
        <v>0</v>
      </c>
      <c r="T399" s="27">
        <f>PK!S16</f>
        <v>0</v>
      </c>
      <c r="U399" s="27">
        <f>PK!T16</f>
        <v>0</v>
      </c>
      <c r="V399" s="27">
        <f>PK!U16</f>
        <v>0</v>
      </c>
      <c r="W399" s="27">
        <f>PK!V16</f>
        <v>0</v>
      </c>
      <c r="X399" s="27">
        <f>PK!W16</f>
        <v>0</v>
      </c>
      <c r="Y399" s="27">
        <f>PK!X16</f>
        <v>0</v>
      </c>
      <c r="Z399" s="27">
        <f>PK!Y16</f>
        <v>0</v>
      </c>
      <c r="AA399" s="27">
        <f>PK!Z16</f>
        <v>0</v>
      </c>
    </row>
    <row r="400" spans="4:27" x14ac:dyDescent="0.2">
      <c r="D400" s="4" t="s">
        <v>795</v>
      </c>
      <c r="E400" s="4">
        <v>6</v>
      </c>
      <c r="F400" s="4">
        <f>PK!G17</f>
        <v>8</v>
      </c>
      <c r="G400" s="4" t="str">
        <f>IF(PK!H17&lt;&gt;"",PK!H17,"")</f>
        <v/>
      </c>
      <c r="H400" s="26">
        <f t="shared" si="24"/>
        <v>0</v>
      </c>
      <c r="I400" s="27">
        <f t="shared" si="25"/>
        <v>0</v>
      </c>
      <c r="J400" s="27">
        <f>PK!I17</f>
        <v>0</v>
      </c>
      <c r="K400" s="27">
        <f>PK!J17</f>
        <v>0</v>
      </c>
      <c r="L400" s="27">
        <f>PK!K17</f>
        <v>0</v>
      </c>
      <c r="M400" s="27">
        <f>PK!L17</f>
        <v>0</v>
      </c>
      <c r="N400" s="27">
        <f>PK!M17</f>
        <v>0</v>
      </c>
      <c r="O400" s="27">
        <f>PK!N17</f>
        <v>0</v>
      </c>
      <c r="P400" s="27">
        <f>PK!O17</f>
        <v>0</v>
      </c>
      <c r="Q400" s="27">
        <f>PK!P17</f>
        <v>0</v>
      </c>
      <c r="R400" s="27">
        <f>PK!Q17</f>
        <v>0</v>
      </c>
      <c r="S400" s="27">
        <f>PK!R17</f>
        <v>0</v>
      </c>
      <c r="T400" s="27">
        <f>PK!S17</f>
        <v>0</v>
      </c>
      <c r="U400" s="27">
        <f>PK!T17</f>
        <v>0</v>
      </c>
      <c r="V400" s="27">
        <f>PK!U17</f>
        <v>0</v>
      </c>
      <c r="W400" s="27">
        <f>PK!V17</f>
        <v>0</v>
      </c>
      <c r="X400" s="27">
        <f>PK!W17</f>
        <v>0</v>
      </c>
      <c r="Y400" s="27">
        <f>PK!X17</f>
        <v>0</v>
      </c>
      <c r="Z400" s="27">
        <f>PK!Y17</f>
        <v>0</v>
      </c>
      <c r="AA400" s="27">
        <f>PK!Z17</f>
        <v>0</v>
      </c>
    </row>
    <row r="401" spans="4:27" x14ac:dyDescent="0.2">
      <c r="D401" s="4" t="s">
        <v>795</v>
      </c>
      <c r="E401" s="4">
        <v>6</v>
      </c>
      <c r="F401" s="4">
        <f>PK!G18</f>
        <v>9</v>
      </c>
      <c r="G401" s="4" t="str">
        <f>IF(PK!H18&lt;&gt;"",PK!H18,"")</f>
        <v/>
      </c>
      <c r="H401" s="26">
        <f t="shared" si="24"/>
        <v>0</v>
      </c>
      <c r="I401" s="27">
        <f t="shared" si="25"/>
        <v>0</v>
      </c>
      <c r="J401" s="27">
        <f>PK!I18</f>
        <v>0</v>
      </c>
      <c r="K401" s="27">
        <f>PK!J18</f>
        <v>0</v>
      </c>
      <c r="L401" s="27">
        <f>PK!K18</f>
        <v>0</v>
      </c>
      <c r="M401" s="27">
        <f>PK!L18</f>
        <v>0</v>
      </c>
      <c r="N401" s="27">
        <f>PK!M18</f>
        <v>0</v>
      </c>
      <c r="O401" s="27">
        <f>PK!N18</f>
        <v>0</v>
      </c>
      <c r="P401" s="27">
        <f>PK!O18</f>
        <v>0</v>
      </c>
      <c r="Q401" s="27">
        <f>PK!P18</f>
        <v>0</v>
      </c>
      <c r="R401" s="27">
        <f>PK!Q18</f>
        <v>0</v>
      </c>
      <c r="S401" s="27">
        <f>PK!R18</f>
        <v>0</v>
      </c>
      <c r="T401" s="27">
        <f>PK!S18</f>
        <v>0</v>
      </c>
      <c r="U401" s="27">
        <f>PK!T18</f>
        <v>0</v>
      </c>
      <c r="V401" s="27">
        <f>PK!U18</f>
        <v>0</v>
      </c>
      <c r="W401" s="27">
        <f>PK!V18</f>
        <v>0</v>
      </c>
      <c r="X401" s="27">
        <f>PK!W18</f>
        <v>0</v>
      </c>
      <c r="Y401" s="27">
        <f>PK!X18</f>
        <v>0</v>
      </c>
      <c r="Z401" s="27">
        <f>PK!Y18</f>
        <v>0</v>
      </c>
      <c r="AA401" s="27">
        <f>PK!Z18</f>
        <v>0</v>
      </c>
    </row>
    <row r="402" spans="4:27" x14ac:dyDescent="0.2">
      <c r="D402" s="4" t="s">
        <v>795</v>
      </c>
      <c r="E402" s="4">
        <v>6</v>
      </c>
      <c r="F402" s="4">
        <f>PK!G19</f>
        <v>10</v>
      </c>
      <c r="G402" s="4" t="str">
        <f>IF(PK!H19&lt;&gt;"",PK!H19,"")</f>
        <v/>
      </c>
      <c r="H402" s="26">
        <f t="shared" si="24"/>
        <v>0</v>
      </c>
      <c r="I402" s="27">
        <f t="shared" si="25"/>
        <v>0</v>
      </c>
      <c r="J402" s="27">
        <f>PK!I19</f>
        <v>0</v>
      </c>
      <c r="K402" s="27">
        <f>PK!J19</f>
        <v>0</v>
      </c>
      <c r="L402" s="27">
        <f>PK!K19</f>
        <v>0</v>
      </c>
      <c r="M402" s="27">
        <f>PK!L19</f>
        <v>0</v>
      </c>
      <c r="N402" s="27">
        <f>PK!M19</f>
        <v>0</v>
      </c>
      <c r="O402" s="27">
        <f>PK!N19</f>
        <v>0</v>
      </c>
      <c r="P402" s="27">
        <f>PK!O19</f>
        <v>0</v>
      </c>
      <c r="Q402" s="27">
        <f>PK!P19</f>
        <v>0</v>
      </c>
      <c r="R402" s="27">
        <f>PK!Q19</f>
        <v>0</v>
      </c>
      <c r="S402" s="27">
        <f>PK!R19</f>
        <v>0</v>
      </c>
      <c r="T402" s="27">
        <f>PK!S19</f>
        <v>0</v>
      </c>
      <c r="U402" s="27">
        <f>PK!T19</f>
        <v>0</v>
      </c>
      <c r="V402" s="27">
        <f>PK!U19</f>
        <v>0</v>
      </c>
      <c r="W402" s="27">
        <f>PK!V19</f>
        <v>0</v>
      </c>
      <c r="X402" s="27">
        <f>PK!W19</f>
        <v>0</v>
      </c>
      <c r="Y402" s="27">
        <f>PK!X19</f>
        <v>0</v>
      </c>
      <c r="Z402" s="27">
        <f>PK!Y19</f>
        <v>0</v>
      </c>
      <c r="AA402" s="27">
        <f>PK!Z19</f>
        <v>0</v>
      </c>
    </row>
    <row r="403" spans="4:27" x14ac:dyDescent="0.2">
      <c r="D403" s="4" t="s">
        <v>795</v>
      </c>
      <c r="E403" s="4">
        <v>6</v>
      </c>
      <c r="F403" s="4">
        <f>PK!G20</f>
        <v>11</v>
      </c>
      <c r="G403" s="4" t="str">
        <f>IF(PK!H20&lt;&gt;"",PK!H20,"")</f>
        <v/>
      </c>
      <c r="H403" s="26">
        <f t="shared" si="24"/>
        <v>0</v>
      </c>
      <c r="I403" s="27">
        <f t="shared" si="25"/>
        <v>0</v>
      </c>
      <c r="J403" s="27">
        <f>PK!I20</f>
        <v>0</v>
      </c>
      <c r="K403" s="27">
        <f>PK!J20</f>
        <v>0</v>
      </c>
      <c r="L403" s="27">
        <f>PK!K20</f>
        <v>0</v>
      </c>
      <c r="M403" s="27">
        <f>PK!L20</f>
        <v>0</v>
      </c>
      <c r="N403" s="27">
        <f>PK!M20</f>
        <v>0</v>
      </c>
      <c r="O403" s="27">
        <f>PK!N20</f>
        <v>0</v>
      </c>
      <c r="P403" s="27">
        <f>PK!O20</f>
        <v>0</v>
      </c>
      <c r="Q403" s="27">
        <f>PK!P20</f>
        <v>0</v>
      </c>
      <c r="R403" s="27">
        <f>PK!Q20</f>
        <v>0</v>
      </c>
      <c r="S403" s="27">
        <f>PK!R20</f>
        <v>0</v>
      </c>
      <c r="T403" s="27">
        <f>PK!S20</f>
        <v>0</v>
      </c>
      <c r="U403" s="27">
        <f>PK!T20</f>
        <v>0</v>
      </c>
      <c r="V403" s="27">
        <f>PK!U20</f>
        <v>0</v>
      </c>
      <c r="W403" s="27">
        <f>PK!V20</f>
        <v>0</v>
      </c>
      <c r="X403" s="27">
        <f>PK!W20</f>
        <v>0</v>
      </c>
      <c r="Y403" s="27">
        <f>PK!X20</f>
        <v>0</v>
      </c>
      <c r="Z403" s="27">
        <f>PK!Y20</f>
        <v>0</v>
      </c>
      <c r="AA403" s="27">
        <f>PK!Z20</f>
        <v>0</v>
      </c>
    </row>
    <row r="404" spans="4:27" x14ac:dyDescent="0.2">
      <c r="D404" s="4" t="s">
        <v>795</v>
      </c>
      <c r="E404" s="4">
        <v>6</v>
      </c>
      <c r="F404" s="4">
        <f>PK!G21</f>
        <v>12</v>
      </c>
      <c r="G404" s="4" t="str">
        <f>IF(PK!H21&lt;&gt;"",PK!H21,"")</f>
        <v/>
      </c>
      <c r="H404" s="26">
        <f t="shared" si="24"/>
        <v>0</v>
      </c>
      <c r="I404" s="27">
        <f t="shared" si="25"/>
        <v>0</v>
      </c>
      <c r="J404" s="27">
        <f>PK!I21</f>
        <v>0</v>
      </c>
      <c r="K404" s="27">
        <f>PK!J21</f>
        <v>0</v>
      </c>
      <c r="L404" s="27">
        <f>PK!K21</f>
        <v>0</v>
      </c>
      <c r="M404" s="27">
        <f>PK!L21</f>
        <v>0</v>
      </c>
      <c r="N404" s="27">
        <f>PK!M21</f>
        <v>0</v>
      </c>
      <c r="O404" s="27">
        <f>PK!N21</f>
        <v>0</v>
      </c>
      <c r="P404" s="27">
        <f>PK!O21</f>
        <v>0</v>
      </c>
      <c r="Q404" s="27">
        <f>PK!P21</f>
        <v>0</v>
      </c>
      <c r="R404" s="27">
        <f>PK!Q21</f>
        <v>0</v>
      </c>
      <c r="S404" s="27">
        <f>PK!R21</f>
        <v>0</v>
      </c>
      <c r="T404" s="27">
        <f>PK!S21</f>
        <v>0</v>
      </c>
      <c r="U404" s="27">
        <f>PK!T21</f>
        <v>0</v>
      </c>
      <c r="V404" s="27">
        <f>PK!U21</f>
        <v>0</v>
      </c>
      <c r="W404" s="27">
        <f>PK!V21</f>
        <v>0</v>
      </c>
      <c r="X404" s="27">
        <f>PK!W21</f>
        <v>0</v>
      </c>
      <c r="Y404" s="27">
        <f>PK!X21</f>
        <v>0</v>
      </c>
      <c r="Z404" s="27">
        <f>PK!Y21</f>
        <v>0</v>
      </c>
      <c r="AA404" s="27">
        <f>PK!Z21</f>
        <v>0</v>
      </c>
    </row>
    <row r="405" spans="4:27" x14ac:dyDescent="0.2">
      <c r="D405" s="4" t="s">
        <v>795</v>
      </c>
      <c r="E405" s="4">
        <v>6</v>
      </c>
      <c r="F405" s="4">
        <f>PK!G22</f>
        <v>13</v>
      </c>
      <c r="G405" s="4" t="str">
        <f>IF(PK!H22&lt;&gt;"",PK!H22,"")</f>
        <v/>
      </c>
      <c r="H405" s="26">
        <f t="shared" si="24"/>
        <v>0</v>
      </c>
      <c r="I405" s="27">
        <f t="shared" si="25"/>
        <v>0</v>
      </c>
      <c r="J405" s="27">
        <f>PK!I22</f>
        <v>0</v>
      </c>
      <c r="K405" s="27">
        <f>PK!J22</f>
        <v>0</v>
      </c>
      <c r="L405" s="27">
        <f>PK!K22</f>
        <v>0</v>
      </c>
      <c r="M405" s="27">
        <f>PK!L22</f>
        <v>0</v>
      </c>
      <c r="N405" s="27">
        <f>PK!M22</f>
        <v>0</v>
      </c>
      <c r="O405" s="27">
        <f>PK!N22</f>
        <v>0</v>
      </c>
      <c r="P405" s="27">
        <f>PK!O22</f>
        <v>0</v>
      </c>
      <c r="Q405" s="27">
        <f>PK!P22</f>
        <v>0</v>
      </c>
      <c r="R405" s="27">
        <f>PK!Q22</f>
        <v>0</v>
      </c>
      <c r="S405" s="27">
        <f>PK!R22</f>
        <v>0</v>
      </c>
      <c r="T405" s="27">
        <f>PK!S22</f>
        <v>0</v>
      </c>
      <c r="U405" s="27">
        <f>PK!T22</f>
        <v>0</v>
      </c>
      <c r="V405" s="27">
        <f>PK!U22</f>
        <v>0</v>
      </c>
      <c r="W405" s="27">
        <f>PK!V22</f>
        <v>0</v>
      </c>
      <c r="X405" s="27">
        <f>PK!W22</f>
        <v>0</v>
      </c>
      <c r="Y405" s="27">
        <f>PK!X22</f>
        <v>0</v>
      </c>
      <c r="Z405" s="27">
        <f>PK!Y22</f>
        <v>0</v>
      </c>
      <c r="AA405" s="27">
        <f>PK!Z22</f>
        <v>0</v>
      </c>
    </row>
    <row r="406" spans="4:27" x14ac:dyDescent="0.2">
      <c r="D406" s="4" t="s">
        <v>795</v>
      </c>
      <c r="E406" s="4">
        <v>6</v>
      </c>
      <c r="F406" s="4">
        <f>PK!G23</f>
        <v>14</v>
      </c>
      <c r="G406" s="4" t="str">
        <f>IF(PK!H23&lt;&gt;"",PK!H23,"")</f>
        <v/>
      </c>
      <c r="H406" s="26">
        <f t="shared" si="24"/>
        <v>0</v>
      </c>
      <c r="I406" s="27">
        <f t="shared" si="25"/>
        <v>0</v>
      </c>
      <c r="J406" s="27">
        <f>PK!I23</f>
        <v>0</v>
      </c>
      <c r="K406" s="27">
        <f>PK!J23</f>
        <v>0</v>
      </c>
      <c r="L406" s="27">
        <f>PK!K23</f>
        <v>0</v>
      </c>
      <c r="M406" s="27">
        <f>PK!L23</f>
        <v>0</v>
      </c>
      <c r="N406" s="27">
        <f>PK!M23</f>
        <v>0</v>
      </c>
      <c r="O406" s="27">
        <f>PK!N23</f>
        <v>0</v>
      </c>
      <c r="P406" s="27">
        <f>PK!O23</f>
        <v>0</v>
      </c>
      <c r="Q406" s="27">
        <f>PK!P23</f>
        <v>0</v>
      </c>
      <c r="R406" s="27">
        <f>PK!Q23</f>
        <v>0</v>
      </c>
      <c r="S406" s="27">
        <f>PK!R23</f>
        <v>0</v>
      </c>
      <c r="T406" s="27">
        <f>PK!S23</f>
        <v>0</v>
      </c>
      <c r="U406" s="27">
        <f>PK!T23</f>
        <v>0</v>
      </c>
      <c r="V406" s="27">
        <f>PK!U23</f>
        <v>0</v>
      </c>
      <c r="W406" s="27">
        <f>PK!V23</f>
        <v>0</v>
      </c>
      <c r="X406" s="27">
        <f>PK!W23</f>
        <v>0</v>
      </c>
      <c r="Y406" s="27">
        <f>PK!X23</f>
        <v>0</v>
      </c>
      <c r="Z406" s="27">
        <f>PK!Y23</f>
        <v>0</v>
      </c>
      <c r="AA406" s="27">
        <f>PK!Z23</f>
        <v>0</v>
      </c>
    </row>
    <row r="407" spans="4:27" x14ac:dyDescent="0.2">
      <c r="D407" s="4" t="s">
        <v>795</v>
      </c>
      <c r="E407" s="4">
        <v>6</v>
      </c>
      <c r="F407" s="4">
        <f>PK!G24</f>
        <v>15</v>
      </c>
      <c r="G407" s="4" t="str">
        <f>IF(PK!H24&lt;&gt;"",PK!H24,"")</f>
        <v/>
      </c>
      <c r="H407" s="26">
        <f t="shared" si="24"/>
        <v>0</v>
      </c>
      <c r="I407" s="27">
        <f t="shared" si="25"/>
        <v>0</v>
      </c>
      <c r="J407" s="27">
        <f>PK!I24</f>
        <v>0</v>
      </c>
      <c r="K407" s="27">
        <f>PK!J24</f>
        <v>0</v>
      </c>
      <c r="L407" s="27">
        <f>PK!K24</f>
        <v>0</v>
      </c>
      <c r="M407" s="27">
        <f>PK!L24</f>
        <v>0</v>
      </c>
      <c r="N407" s="27">
        <f>PK!M24</f>
        <v>0</v>
      </c>
      <c r="O407" s="27">
        <f>PK!N24</f>
        <v>0</v>
      </c>
      <c r="P407" s="27">
        <f>PK!O24</f>
        <v>0</v>
      </c>
      <c r="Q407" s="27">
        <f>PK!P24</f>
        <v>0</v>
      </c>
      <c r="R407" s="27">
        <f>PK!Q24</f>
        <v>0</v>
      </c>
      <c r="S407" s="27">
        <f>PK!R24</f>
        <v>0</v>
      </c>
      <c r="T407" s="27">
        <f>PK!S24</f>
        <v>0</v>
      </c>
      <c r="U407" s="27">
        <f>PK!T24</f>
        <v>0</v>
      </c>
      <c r="V407" s="27">
        <f>PK!U24</f>
        <v>0</v>
      </c>
      <c r="W407" s="27">
        <f>PK!V24</f>
        <v>0</v>
      </c>
      <c r="X407" s="27">
        <f>PK!W24</f>
        <v>0</v>
      </c>
      <c r="Y407" s="27">
        <f>PK!X24</f>
        <v>0</v>
      </c>
      <c r="Z407" s="27">
        <f>PK!Y24</f>
        <v>0</v>
      </c>
      <c r="AA407" s="27">
        <f>PK!Z24</f>
        <v>0</v>
      </c>
    </row>
    <row r="408" spans="4:27" x14ac:dyDescent="0.2">
      <c r="D408" s="4" t="s">
        <v>795</v>
      </c>
      <c r="E408" s="4">
        <v>6</v>
      </c>
      <c r="F408" s="4">
        <f>PK!G25</f>
        <v>16</v>
      </c>
      <c r="G408" s="4" t="str">
        <f>IF(PK!H25&lt;&gt;"",PK!H25,"")</f>
        <v/>
      </c>
      <c r="H408" s="26">
        <f t="shared" si="24"/>
        <v>0</v>
      </c>
      <c r="I408" s="27">
        <f t="shared" si="25"/>
        <v>0</v>
      </c>
      <c r="J408" s="27">
        <f>PK!I25</f>
        <v>0</v>
      </c>
      <c r="K408" s="27">
        <f>PK!J25</f>
        <v>0</v>
      </c>
      <c r="L408" s="27">
        <f>PK!K25</f>
        <v>0</v>
      </c>
      <c r="M408" s="27">
        <f>PK!L25</f>
        <v>0</v>
      </c>
      <c r="N408" s="27">
        <f>PK!M25</f>
        <v>0</v>
      </c>
      <c r="O408" s="27">
        <f>PK!N25</f>
        <v>0</v>
      </c>
      <c r="P408" s="27">
        <f>PK!O25</f>
        <v>0</v>
      </c>
      <c r="Q408" s="27">
        <f>PK!P25</f>
        <v>0</v>
      </c>
      <c r="R408" s="27">
        <f>PK!Q25</f>
        <v>0</v>
      </c>
      <c r="S408" s="27">
        <f>PK!R25</f>
        <v>0</v>
      </c>
      <c r="T408" s="27">
        <f>PK!S25</f>
        <v>0</v>
      </c>
      <c r="U408" s="27">
        <f>PK!T25</f>
        <v>0</v>
      </c>
      <c r="V408" s="27">
        <f>PK!U25</f>
        <v>0</v>
      </c>
      <c r="W408" s="27">
        <f>PK!V25</f>
        <v>0</v>
      </c>
      <c r="X408" s="27">
        <f>PK!W25</f>
        <v>0</v>
      </c>
      <c r="Y408" s="27">
        <f>PK!X25</f>
        <v>0</v>
      </c>
      <c r="Z408" s="27">
        <f>PK!Y25</f>
        <v>0</v>
      </c>
      <c r="AA408" s="27">
        <f>PK!Z25</f>
        <v>0</v>
      </c>
    </row>
    <row r="409" spans="4:27" x14ac:dyDescent="0.2">
      <c r="D409" s="4" t="s">
        <v>795</v>
      </c>
      <c r="E409" s="4">
        <v>6</v>
      </c>
      <c r="F409" s="4">
        <f>PK!G26</f>
        <v>17</v>
      </c>
      <c r="G409" s="4" t="str">
        <f>IF(PK!H26&lt;&gt;"",PK!H26,"")</f>
        <v/>
      </c>
      <c r="H409" s="26">
        <f t="shared" si="24"/>
        <v>0</v>
      </c>
      <c r="I409" s="27">
        <f t="shared" si="25"/>
        <v>0</v>
      </c>
      <c r="J409" s="27">
        <f>PK!I26</f>
        <v>0</v>
      </c>
      <c r="K409" s="27">
        <f>PK!J26</f>
        <v>0</v>
      </c>
      <c r="L409" s="27">
        <f>PK!K26</f>
        <v>0</v>
      </c>
      <c r="M409" s="27">
        <f>PK!L26</f>
        <v>0</v>
      </c>
      <c r="N409" s="27">
        <f>PK!M26</f>
        <v>0</v>
      </c>
      <c r="O409" s="27">
        <f>PK!N26</f>
        <v>0</v>
      </c>
      <c r="P409" s="27">
        <f>PK!O26</f>
        <v>0</v>
      </c>
      <c r="Q409" s="27">
        <f>PK!P26</f>
        <v>0</v>
      </c>
      <c r="R409" s="27">
        <f>PK!Q26</f>
        <v>0</v>
      </c>
      <c r="S409" s="27">
        <f>PK!R26</f>
        <v>0</v>
      </c>
      <c r="T409" s="27">
        <f>PK!S26</f>
        <v>0</v>
      </c>
      <c r="U409" s="27">
        <f>PK!T26</f>
        <v>0</v>
      </c>
      <c r="V409" s="27">
        <f>PK!U26</f>
        <v>0</v>
      </c>
      <c r="W409" s="27">
        <f>PK!V26</f>
        <v>0</v>
      </c>
      <c r="X409" s="27">
        <f>PK!W26</f>
        <v>0</v>
      </c>
      <c r="Y409" s="27">
        <f>PK!X26</f>
        <v>0</v>
      </c>
      <c r="Z409" s="27">
        <f>PK!Y26</f>
        <v>0</v>
      </c>
      <c r="AA409" s="27">
        <f>PK!Z26</f>
        <v>0</v>
      </c>
    </row>
    <row r="410" spans="4:27" x14ac:dyDescent="0.2">
      <c r="D410" s="4" t="s">
        <v>795</v>
      </c>
      <c r="E410" s="4">
        <v>6</v>
      </c>
      <c r="F410" s="4">
        <f>PK!G27</f>
        <v>18</v>
      </c>
      <c r="G410" s="4" t="str">
        <f>IF(PK!H27&lt;&gt;"",PK!H27,"")</f>
        <v/>
      </c>
      <c r="H410" s="26">
        <f t="shared" si="24"/>
        <v>0</v>
      </c>
      <c r="I410" s="27">
        <f t="shared" si="25"/>
        <v>0</v>
      </c>
      <c r="J410" s="27">
        <f>PK!I27</f>
        <v>0</v>
      </c>
      <c r="K410" s="27">
        <f>PK!J27</f>
        <v>0</v>
      </c>
      <c r="L410" s="27">
        <f>PK!K27</f>
        <v>0</v>
      </c>
      <c r="M410" s="27">
        <f>PK!L27</f>
        <v>0</v>
      </c>
      <c r="N410" s="27">
        <f>PK!M27</f>
        <v>0</v>
      </c>
      <c r="O410" s="27">
        <f>PK!N27</f>
        <v>0</v>
      </c>
      <c r="P410" s="27">
        <f>PK!O27</f>
        <v>0</v>
      </c>
      <c r="Q410" s="27">
        <f>PK!P27</f>
        <v>0</v>
      </c>
      <c r="R410" s="27">
        <f>PK!Q27</f>
        <v>0</v>
      </c>
      <c r="S410" s="27">
        <f>PK!R27</f>
        <v>0</v>
      </c>
      <c r="T410" s="27">
        <f>PK!S27</f>
        <v>0</v>
      </c>
      <c r="U410" s="27">
        <f>PK!T27</f>
        <v>0</v>
      </c>
      <c r="V410" s="27">
        <f>PK!U27</f>
        <v>0</v>
      </c>
      <c r="W410" s="27">
        <f>PK!V27</f>
        <v>0</v>
      </c>
      <c r="X410" s="27">
        <f>PK!W27</f>
        <v>0</v>
      </c>
      <c r="Y410" s="27">
        <f>PK!X27</f>
        <v>0</v>
      </c>
      <c r="Z410" s="27">
        <f>PK!Y27</f>
        <v>0</v>
      </c>
      <c r="AA410" s="27">
        <f>PK!Z27</f>
        <v>0</v>
      </c>
    </row>
    <row r="411" spans="4:27" x14ac:dyDescent="0.2">
      <c r="D411" s="4" t="s">
        <v>795</v>
      </c>
      <c r="E411" s="4">
        <v>6</v>
      </c>
      <c r="F411" s="4">
        <f>PK!G28</f>
        <v>19</v>
      </c>
      <c r="G411" s="4" t="str">
        <f>IF(PK!H28&lt;&gt;"",PK!H28,"")</f>
        <v/>
      </c>
      <c r="H411" s="26">
        <f t="shared" si="24"/>
        <v>0</v>
      </c>
      <c r="I411" s="27">
        <f t="shared" si="25"/>
        <v>0</v>
      </c>
      <c r="J411" s="27">
        <f>PK!I28</f>
        <v>0</v>
      </c>
      <c r="K411" s="27">
        <f>PK!J28</f>
        <v>0</v>
      </c>
      <c r="L411" s="27">
        <f>PK!K28</f>
        <v>0</v>
      </c>
      <c r="M411" s="27">
        <f>PK!L28</f>
        <v>0</v>
      </c>
      <c r="N411" s="27">
        <f>PK!M28</f>
        <v>0</v>
      </c>
      <c r="O411" s="27">
        <f>PK!N28</f>
        <v>0</v>
      </c>
      <c r="P411" s="27">
        <f>PK!O28</f>
        <v>0</v>
      </c>
      <c r="Q411" s="27">
        <f>PK!P28</f>
        <v>0</v>
      </c>
      <c r="R411" s="27">
        <f>PK!Q28</f>
        <v>0</v>
      </c>
      <c r="S411" s="27">
        <f>PK!R28</f>
        <v>0</v>
      </c>
      <c r="T411" s="27">
        <f>PK!S28</f>
        <v>0</v>
      </c>
      <c r="U411" s="27">
        <f>PK!T28</f>
        <v>0</v>
      </c>
      <c r="V411" s="27">
        <f>PK!U28</f>
        <v>0</v>
      </c>
      <c r="W411" s="27">
        <f>PK!V28</f>
        <v>0</v>
      </c>
      <c r="X411" s="27">
        <f>PK!W28</f>
        <v>0</v>
      </c>
      <c r="Y411" s="27">
        <f>PK!X28</f>
        <v>0</v>
      </c>
      <c r="Z411" s="27">
        <f>PK!Y28</f>
        <v>0</v>
      </c>
      <c r="AA411" s="27">
        <f>PK!Z28</f>
        <v>0</v>
      </c>
    </row>
    <row r="412" spans="4:27" x14ac:dyDescent="0.2">
      <c r="D412" s="4" t="s">
        <v>795</v>
      </c>
      <c r="E412" s="4">
        <v>6</v>
      </c>
      <c r="F412" s="4">
        <f>PK!G29</f>
        <v>20</v>
      </c>
      <c r="G412" s="4" t="str">
        <f>IF(PK!H29&lt;&gt;"",PK!H29,"")</f>
        <v/>
      </c>
      <c r="H412" s="26">
        <f t="shared" si="24"/>
        <v>0</v>
      </c>
      <c r="I412" s="27">
        <f t="shared" si="25"/>
        <v>0</v>
      </c>
      <c r="J412" s="27">
        <f>PK!I29</f>
        <v>0</v>
      </c>
      <c r="K412" s="27">
        <f>PK!J29</f>
        <v>0</v>
      </c>
      <c r="L412" s="27">
        <f>PK!K29</f>
        <v>0</v>
      </c>
      <c r="M412" s="27">
        <f>PK!L29</f>
        <v>0</v>
      </c>
      <c r="N412" s="27">
        <f>PK!M29</f>
        <v>0</v>
      </c>
      <c r="O412" s="27">
        <f>PK!N29</f>
        <v>0</v>
      </c>
      <c r="P412" s="27">
        <f>PK!O29</f>
        <v>0</v>
      </c>
      <c r="Q412" s="27">
        <f>PK!P29</f>
        <v>0</v>
      </c>
      <c r="R412" s="27">
        <f>PK!Q29</f>
        <v>0</v>
      </c>
      <c r="S412" s="27">
        <f>PK!R29</f>
        <v>0</v>
      </c>
      <c r="T412" s="27">
        <f>PK!S29</f>
        <v>0</v>
      </c>
      <c r="U412" s="27">
        <f>PK!T29</f>
        <v>0</v>
      </c>
      <c r="V412" s="27">
        <f>PK!U29</f>
        <v>0</v>
      </c>
      <c r="W412" s="27">
        <f>PK!V29</f>
        <v>0</v>
      </c>
      <c r="X412" s="27">
        <f>PK!W29</f>
        <v>0</v>
      </c>
      <c r="Y412" s="27">
        <f>PK!X29</f>
        <v>0</v>
      </c>
      <c r="Z412" s="27">
        <f>PK!Y29</f>
        <v>0</v>
      </c>
      <c r="AA412" s="27">
        <f>PK!Z29</f>
        <v>0</v>
      </c>
    </row>
    <row r="413" spans="4:27" x14ac:dyDescent="0.2">
      <c r="D413" s="4" t="s">
        <v>795</v>
      </c>
      <c r="E413" s="4">
        <v>6</v>
      </c>
      <c r="F413" s="4">
        <f>PK!G30</f>
        <v>21</v>
      </c>
      <c r="G413" s="4" t="str">
        <f>IF(PK!H30&lt;&gt;"",PK!H30,"")</f>
        <v/>
      </c>
      <c r="H413" s="26">
        <f t="shared" si="24"/>
        <v>0</v>
      </c>
      <c r="I413" s="27">
        <f t="shared" si="25"/>
        <v>0</v>
      </c>
      <c r="J413" s="27">
        <f>PK!I30</f>
        <v>0</v>
      </c>
      <c r="K413" s="27">
        <f>PK!J30</f>
        <v>0</v>
      </c>
      <c r="L413" s="27">
        <f>PK!K30</f>
        <v>0</v>
      </c>
      <c r="M413" s="27">
        <f>PK!L30</f>
        <v>0</v>
      </c>
      <c r="N413" s="27">
        <f>PK!M30</f>
        <v>0</v>
      </c>
      <c r="O413" s="27">
        <f>PK!N30</f>
        <v>0</v>
      </c>
      <c r="P413" s="27">
        <f>PK!O30</f>
        <v>0</v>
      </c>
      <c r="Q413" s="27">
        <f>PK!P30</f>
        <v>0</v>
      </c>
      <c r="R413" s="27">
        <f>PK!Q30</f>
        <v>0</v>
      </c>
      <c r="S413" s="27">
        <f>PK!R30</f>
        <v>0</v>
      </c>
      <c r="T413" s="27">
        <f>PK!S30</f>
        <v>0</v>
      </c>
      <c r="U413" s="27">
        <f>PK!T30</f>
        <v>0</v>
      </c>
      <c r="V413" s="27">
        <f>PK!U30</f>
        <v>0</v>
      </c>
      <c r="W413" s="27">
        <f>PK!V30</f>
        <v>0</v>
      </c>
      <c r="X413" s="27">
        <f>PK!W30</f>
        <v>0</v>
      </c>
      <c r="Y413" s="27">
        <f>PK!X30</f>
        <v>0</v>
      </c>
      <c r="Z413" s="27">
        <f>PK!Y30</f>
        <v>0</v>
      </c>
      <c r="AA413" s="27">
        <f>PK!Z30</f>
        <v>0</v>
      </c>
    </row>
    <row r="414" spans="4:27" x14ac:dyDescent="0.2">
      <c r="D414" s="4" t="s">
        <v>795</v>
      </c>
      <c r="E414" s="4">
        <v>6</v>
      </c>
      <c r="F414" s="4">
        <f>PK!G31</f>
        <v>22</v>
      </c>
      <c r="G414" s="4" t="str">
        <f>IF(PK!H31&lt;&gt;"",PK!H31,"")</f>
        <v/>
      </c>
      <c r="H414" s="26">
        <f t="shared" si="24"/>
        <v>0</v>
      </c>
      <c r="I414" s="27">
        <f t="shared" si="25"/>
        <v>0</v>
      </c>
      <c r="J414" s="27">
        <f>PK!I31</f>
        <v>0</v>
      </c>
      <c r="K414" s="27">
        <f>PK!J31</f>
        <v>0</v>
      </c>
      <c r="L414" s="27">
        <f>PK!K31</f>
        <v>0</v>
      </c>
      <c r="M414" s="27">
        <f>PK!L31</f>
        <v>0</v>
      </c>
      <c r="N414" s="27">
        <f>PK!M31</f>
        <v>0</v>
      </c>
      <c r="O414" s="27">
        <f>PK!N31</f>
        <v>0</v>
      </c>
      <c r="P414" s="27">
        <f>PK!O31</f>
        <v>0</v>
      </c>
      <c r="Q414" s="27">
        <f>PK!P31</f>
        <v>0</v>
      </c>
      <c r="R414" s="27">
        <f>PK!Q31</f>
        <v>0</v>
      </c>
      <c r="S414" s="27">
        <f>PK!R31</f>
        <v>0</v>
      </c>
      <c r="T414" s="27">
        <f>PK!S31</f>
        <v>0</v>
      </c>
      <c r="U414" s="27">
        <f>PK!T31</f>
        <v>0</v>
      </c>
      <c r="V414" s="27">
        <f>PK!U31</f>
        <v>0</v>
      </c>
      <c r="W414" s="27">
        <f>PK!V31</f>
        <v>0</v>
      </c>
      <c r="X414" s="27">
        <f>PK!W31</f>
        <v>0</v>
      </c>
      <c r="Y414" s="27">
        <f>PK!X31</f>
        <v>0</v>
      </c>
      <c r="Z414" s="27">
        <f>PK!Y31</f>
        <v>0</v>
      </c>
      <c r="AA414" s="27">
        <f>PK!Z31</f>
        <v>0</v>
      </c>
    </row>
    <row r="415" spans="4:27" x14ac:dyDescent="0.2">
      <c r="D415" s="4" t="s">
        <v>795</v>
      </c>
      <c r="E415" s="4">
        <v>6</v>
      </c>
      <c r="F415" s="4">
        <f>PK!G32</f>
        <v>23</v>
      </c>
      <c r="G415" s="4" t="str">
        <f>IF(PK!H32&lt;&gt;"",PK!H32,"")</f>
        <v/>
      </c>
      <c r="H415" s="26">
        <f t="shared" si="24"/>
        <v>0</v>
      </c>
      <c r="I415" s="27">
        <f t="shared" si="25"/>
        <v>0</v>
      </c>
      <c r="J415" s="27">
        <f>PK!I32</f>
        <v>0</v>
      </c>
      <c r="K415" s="27">
        <f>PK!J32</f>
        <v>0</v>
      </c>
      <c r="L415" s="27">
        <f>PK!K32</f>
        <v>0</v>
      </c>
      <c r="M415" s="27">
        <f>PK!L32</f>
        <v>0</v>
      </c>
      <c r="N415" s="27">
        <f>PK!M32</f>
        <v>0</v>
      </c>
      <c r="O415" s="27">
        <f>PK!N32</f>
        <v>0</v>
      </c>
      <c r="P415" s="27">
        <f>PK!O32</f>
        <v>0</v>
      </c>
      <c r="Q415" s="27">
        <f>PK!P32</f>
        <v>0</v>
      </c>
      <c r="R415" s="27">
        <f>PK!Q32</f>
        <v>0</v>
      </c>
      <c r="S415" s="27">
        <f>PK!R32</f>
        <v>0</v>
      </c>
      <c r="T415" s="27">
        <f>PK!S32</f>
        <v>0</v>
      </c>
      <c r="U415" s="27">
        <f>PK!T32</f>
        <v>0</v>
      </c>
      <c r="V415" s="27">
        <f>PK!U32</f>
        <v>0</v>
      </c>
      <c r="W415" s="27">
        <f>PK!V32</f>
        <v>0</v>
      </c>
      <c r="X415" s="27">
        <f>PK!W32</f>
        <v>0</v>
      </c>
      <c r="Y415" s="27">
        <f>PK!X32</f>
        <v>0</v>
      </c>
      <c r="Z415" s="27">
        <f>PK!Y32</f>
        <v>0</v>
      </c>
      <c r="AA415" s="27">
        <f>PK!Z32</f>
        <v>0</v>
      </c>
    </row>
    <row r="416" spans="4:27" x14ac:dyDescent="0.2">
      <c r="D416" s="4" t="s">
        <v>795</v>
      </c>
      <c r="E416" s="4">
        <v>6</v>
      </c>
      <c r="F416" s="4">
        <f>PK!G33</f>
        <v>24</v>
      </c>
      <c r="G416" s="4" t="str">
        <f>IF(PK!H33&lt;&gt;"",PK!H33,"")</f>
        <v/>
      </c>
      <c r="H416" s="26">
        <f t="shared" si="24"/>
        <v>0</v>
      </c>
      <c r="I416" s="27">
        <f t="shared" si="25"/>
        <v>0</v>
      </c>
      <c r="J416" s="27">
        <f>PK!I33</f>
        <v>0</v>
      </c>
      <c r="K416" s="27">
        <f>PK!J33</f>
        <v>0</v>
      </c>
      <c r="L416" s="27">
        <f>PK!K33</f>
        <v>0</v>
      </c>
      <c r="M416" s="27">
        <f>PK!L33</f>
        <v>0</v>
      </c>
      <c r="N416" s="27">
        <f>PK!M33</f>
        <v>0</v>
      </c>
      <c r="O416" s="27">
        <f>PK!N33</f>
        <v>0</v>
      </c>
      <c r="P416" s="27">
        <f>PK!O33</f>
        <v>0</v>
      </c>
      <c r="Q416" s="27">
        <f>PK!P33</f>
        <v>0</v>
      </c>
      <c r="R416" s="27">
        <f>PK!Q33</f>
        <v>0</v>
      </c>
      <c r="S416" s="27">
        <f>PK!R33</f>
        <v>0</v>
      </c>
      <c r="T416" s="27">
        <f>PK!S33</f>
        <v>0</v>
      </c>
      <c r="U416" s="27">
        <f>PK!T33</f>
        <v>0</v>
      </c>
      <c r="V416" s="27">
        <f>PK!U33</f>
        <v>0</v>
      </c>
      <c r="W416" s="27">
        <f>PK!V33</f>
        <v>0</v>
      </c>
      <c r="X416" s="27">
        <f>PK!W33</f>
        <v>0</v>
      </c>
      <c r="Y416" s="27">
        <f>PK!X33</f>
        <v>0</v>
      </c>
      <c r="Z416" s="27">
        <f>PK!Y33</f>
        <v>0</v>
      </c>
      <c r="AA416" s="27">
        <f>PK!Z33</f>
        <v>0</v>
      </c>
    </row>
    <row r="417" spans="4:27" x14ac:dyDescent="0.2">
      <c r="D417" s="4" t="s">
        <v>795</v>
      </c>
      <c r="E417" s="4">
        <v>6</v>
      </c>
      <c r="F417" s="4">
        <f>PK!G35</f>
        <v>25</v>
      </c>
      <c r="G417" s="4" t="str">
        <f>IF(PK!H35&lt;&gt;"",PK!H35,"")</f>
        <v/>
      </c>
      <c r="H417" s="26">
        <f t="shared" si="24"/>
        <v>0</v>
      </c>
      <c r="I417" s="27">
        <f t="shared" si="25"/>
        <v>0</v>
      </c>
      <c r="J417" s="27">
        <f>PK!I35</f>
        <v>0</v>
      </c>
      <c r="K417" s="27">
        <f>PK!J35</f>
        <v>0</v>
      </c>
      <c r="L417" s="27">
        <f>PK!K35</f>
        <v>0</v>
      </c>
      <c r="M417" s="27">
        <f>PK!L35</f>
        <v>0</v>
      </c>
      <c r="N417" s="27">
        <f>PK!M35</f>
        <v>0</v>
      </c>
      <c r="O417" s="27">
        <f>PK!N35</f>
        <v>0</v>
      </c>
      <c r="P417" s="27">
        <f>PK!O35</f>
        <v>0</v>
      </c>
      <c r="Q417" s="27">
        <f>PK!P35</f>
        <v>0</v>
      </c>
      <c r="R417" s="27">
        <f>PK!Q35</f>
        <v>0</v>
      </c>
      <c r="S417" s="27">
        <f>PK!R35</f>
        <v>0</v>
      </c>
      <c r="T417" s="27">
        <f>PK!S35</f>
        <v>0</v>
      </c>
      <c r="U417" s="27">
        <f>PK!T35</f>
        <v>0</v>
      </c>
      <c r="V417" s="27">
        <f>PK!U35</f>
        <v>0</v>
      </c>
      <c r="W417" s="27">
        <f>PK!V35</f>
        <v>0</v>
      </c>
      <c r="X417" s="27">
        <f>PK!W35</f>
        <v>0</v>
      </c>
      <c r="Y417" s="27">
        <f>PK!X35</f>
        <v>0</v>
      </c>
      <c r="Z417" s="27">
        <f>PK!Y35</f>
        <v>0</v>
      </c>
      <c r="AA417" s="27">
        <f>PK!Z35</f>
        <v>0</v>
      </c>
    </row>
    <row r="418" spans="4:27" x14ac:dyDescent="0.2">
      <c r="D418" s="4" t="s">
        <v>795</v>
      </c>
      <c r="E418" s="4">
        <v>6</v>
      </c>
      <c r="F418" s="4">
        <f>PK!G36</f>
        <v>26</v>
      </c>
      <c r="G418" s="4" t="str">
        <f>IF(PK!H36&lt;&gt;"",PK!H36,"")</f>
        <v/>
      </c>
      <c r="H418" s="26">
        <f t="shared" si="24"/>
        <v>0</v>
      </c>
      <c r="I418" s="27">
        <f t="shared" si="25"/>
        <v>0</v>
      </c>
      <c r="J418" s="27">
        <f>PK!I36</f>
        <v>0</v>
      </c>
      <c r="K418" s="27">
        <f>PK!J36</f>
        <v>0</v>
      </c>
      <c r="L418" s="27">
        <f>PK!K36</f>
        <v>0</v>
      </c>
      <c r="M418" s="27">
        <f>PK!L36</f>
        <v>0</v>
      </c>
      <c r="N418" s="27">
        <f>PK!M36</f>
        <v>0</v>
      </c>
      <c r="O418" s="27">
        <f>PK!N36</f>
        <v>0</v>
      </c>
      <c r="P418" s="27">
        <f>PK!O36</f>
        <v>0</v>
      </c>
      <c r="Q418" s="27">
        <f>PK!P36</f>
        <v>0</v>
      </c>
      <c r="R418" s="27">
        <f>PK!Q36</f>
        <v>0</v>
      </c>
      <c r="S418" s="27">
        <f>PK!R36</f>
        <v>0</v>
      </c>
      <c r="T418" s="27">
        <f>PK!S36</f>
        <v>0</v>
      </c>
      <c r="U418" s="27">
        <f>PK!T36</f>
        <v>0</v>
      </c>
      <c r="V418" s="27">
        <f>PK!U36</f>
        <v>0</v>
      </c>
      <c r="W418" s="27">
        <f>PK!V36</f>
        <v>0</v>
      </c>
      <c r="X418" s="27">
        <f>PK!W36</f>
        <v>0</v>
      </c>
      <c r="Y418" s="27">
        <f>PK!X36</f>
        <v>0</v>
      </c>
      <c r="Z418" s="27">
        <f>PK!Y36</f>
        <v>0</v>
      </c>
      <c r="AA418" s="27">
        <f>PK!Z36</f>
        <v>0</v>
      </c>
    </row>
    <row r="419" spans="4:27" x14ac:dyDescent="0.2">
      <c r="D419" s="4" t="s">
        <v>795</v>
      </c>
      <c r="E419" s="4">
        <v>6</v>
      </c>
      <c r="F419" s="4">
        <f>PK!G37</f>
        <v>27</v>
      </c>
      <c r="G419" s="4" t="str">
        <f>IF(PK!H37&lt;&gt;"",PK!H37,"")</f>
        <v/>
      </c>
      <c r="H419" s="26">
        <f t="shared" si="24"/>
        <v>0</v>
      </c>
      <c r="I419" s="27">
        <f t="shared" si="25"/>
        <v>0</v>
      </c>
      <c r="J419" s="27">
        <f>PK!I37</f>
        <v>0</v>
      </c>
      <c r="K419" s="27">
        <f>PK!J37</f>
        <v>0</v>
      </c>
      <c r="L419" s="27">
        <f>PK!K37</f>
        <v>0</v>
      </c>
      <c r="M419" s="27">
        <f>PK!L37</f>
        <v>0</v>
      </c>
      <c r="N419" s="27">
        <f>PK!M37</f>
        <v>0</v>
      </c>
      <c r="O419" s="27">
        <f>PK!N37</f>
        <v>0</v>
      </c>
      <c r="P419" s="27">
        <f>PK!O37</f>
        <v>0</v>
      </c>
      <c r="Q419" s="27">
        <f>PK!P37</f>
        <v>0</v>
      </c>
      <c r="R419" s="27">
        <f>PK!Q37</f>
        <v>0</v>
      </c>
      <c r="S419" s="27">
        <f>PK!R37</f>
        <v>0</v>
      </c>
      <c r="T419" s="27">
        <f>PK!S37</f>
        <v>0</v>
      </c>
      <c r="U419" s="27">
        <f>PK!T37</f>
        <v>0</v>
      </c>
      <c r="V419" s="27">
        <f>PK!U37</f>
        <v>0</v>
      </c>
      <c r="W419" s="27">
        <f>PK!V37</f>
        <v>0</v>
      </c>
      <c r="X419" s="27">
        <f>PK!W37</f>
        <v>0</v>
      </c>
      <c r="Y419" s="27">
        <f>PK!X37</f>
        <v>0</v>
      </c>
      <c r="Z419" s="27">
        <f>PK!Y37</f>
        <v>0</v>
      </c>
      <c r="AA419" s="27">
        <f>PK!Z37</f>
        <v>0</v>
      </c>
    </row>
    <row r="420" spans="4:27" x14ac:dyDescent="0.2">
      <c r="D420" s="4" t="s">
        <v>795</v>
      </c>
      <c r="E420" s="4">
        <v>6</v>
      </c>
      <c r="F420" s="4">
        <f>PK!G39</f>
        <v>28</v>
      </c>
      <c r="G420" s="4" t="str">
        <f>IF(PK!H39&lt;&gt;"",PK!H39,"")</f>
        <v/>
      </c>
      <c r="H420" s="26">
        <f t="shared" si="24"/>
        <v>0</v>
      </c>
      <c r="I420" s="27">
        <f t="shared" si="25"/>
        <v>0</v>
      </c>
      <c r="J420" s="27">
        <f>PK!I39</f>
        <v>0</v>
      </c>
      <c r="K420" s="27">
        <f>PK!J39</f>
        <v>0</v>
      </c>
      <c r="L420" s="27">
        <f>PK!K39</f>
        <v>0</v>
      </c>
      <c r="M420" s="27">
        <f>PK!L39</f>
        <v>0</v>
      </c>
      <c r="N420" s="27">
        <f>PK!M39</f>
        <v>0</v>
      </c>
      <c r="O420" s="27">
        <f>PK!N39</f>
        <v>0</v>
      </c>
      <c r="P420" s="27">
        <f>PK!O39</f>
        <v>0</v>
      </c>
      <c r="Q420" s="27">
        <f>PK!P39</f>
        <v>0</v>
      </c>
      <c r="R420" s="27">
        <f>PK!Q39</f>
        <v>0</v>
      </c>
      <c r="S420" s="27">
        <f>PK!R39</f>
        <v>0</v>
      </c>
      <c r="T420" s="27">
        <f>PK!S39</f>
        <v>0</v>
      </c>
      <c r="U420" s="27">
        <f>PK!T39</f>
        <v>0</v>
      </c>
      <c r="V420" s="27">
        <f>PK!U39</f>
        <v>0</v>
      </c>
      <c r="W420" s="27">
        <f>PK!V39</f>
        <v>0</v>
      </c>
      <c r="X420" s="27">
        <f>PK!W39</f>
        <v>0</v>
      </c>
      <c r="Y420" s="27">
        <f>PK!X39</f>
        <v>0</v>
      </c>
      <c r="Z420" s="27">
        <f>PK!Y39</f>
        <v>0</v>
      </c>
      <c r="AA420" s="27">
        <f>PK!Z39</f>
        <v>0</v>
      </c>
    </row>
    <row r="421" spans="4:27" x14ac:dyDescent="0.2">
      <c r="D421" s="4" t="s">
        <v>795</v>
      </c>
      <c r="E421" s="4">
        <v>6</v>
      </c>
      <c r="F421" s="4">
        <f>PK!G40</f>
        <v>29</v>
      </c>
      <c r="G421" s="4" t="str">
        <f>IF(PK!H40&lt;&gt;"",PK!H40,"")</f>
        <v/>
      </c>
      <c r="H421" s="26">
        <f t="shared" si="24"/>
        <v>0</v>
      </c>
      <c r="I421" s="27">
        <f t="shared" si="25"/>
        <v>0</v>
      </c>
      <c r="J421" s="27">
        <f>PK!I40</f>
        <v>0</v>
      </c>
      <c r="K421" s="27">
        <f>PK!J40</f>
        <v>0</v>
      </c>
      <c r="L421" s="27">
        <f>PK!K40</f>
        <v>0</v>
      </c>
      <c r="M421" s="27">
        <f>PK!L40</f>
        <v>0</v>
      </c>
      <c r="N421" s="27">
        <f>PK!M40</f>
        <v>0</v>
      </c>
      <c r="O421" s="27">
        <f>PK!N40</f>
        <v>0</v>
      </c>
      <c r="P421" s="27">
        <f>PK!O40</f>
        <v>0</v>
      </c>
      <c r="Q421" s="27">
        <f>PK!P40</f>
        <v>0</v>
      </c>
      <c r="R421" s="27">
        <f>PK!Q40</f>
        <v>0</v>
      </c>
      <c r="S421" s="27">
        <f>PK!R40</f>
        <v>0</v>
      </c>
      <c r="T421" s="27">
        <f>PK!S40</f>
        <v>0</v>
      </c>
      <c r="U421" s="27">
        <f>PK!T40</f>
        <v>0</v>
      </c>
      <c r="V421" s="27">
        <f>PK!U40</f>
        <v>0</v>
      </c>
      <c r="W421" s="27">
        <f>PK!V40</f>
        <v>0</v>
      </c>
      <c r="X421" s="27">
        <f>PK!W40</f>
        <v>0</v>
      </c>
      <c r="Y421" s="27">
        <f>PK!X40</f>
        <v>0</v>
      </c>
      <c r="Z421" s="27">
        <f>PK!Y40</f>
        <v>0</v>
      </c>
      <c r="AA421" s="27">
        <f>PK!Z40</f>
        <v>0</v>
      </c>
    </row>
    <row r="422" spans="4:27" x14ac:dyDescent="0.2">
      <c r="D422" s="4" t="s">
        <v>795</v>
      </c>
      <c r="E422" s="4">
        <v>6</v>
      </c>
      <c r="F422" s="4">
        <f>PK!G41</f>
        <v>30</v>
      </c>
      <c r="G422" s="4" t="str">
        <f>IF(PK!H41&lt;&gt;"",PK!H41,"")</f>
        <v/>
      </c>
      <c r="H422" s="26">
        <f t="shared" si="24"/>
        <v>0</v>
      </c>
      <c r="I422" s="27">
        <f t="shared" si="25"/>
        <v>0</v>
      </c>
      <c r="J422" s="27">
        <f>PK!I41</f>
        <v>0</v>
      </c>
      <c r="K422" s="27">
        <f>PK!J41</f>
        <v>0</v>
      </c>
      <c r="L422" s="27">
        <f>PK!K41</f>
        <v>0</v>
      </c>
      <c r="M422" s="27">
        <f>PK!L41</f>
        <v>0</v>
      </c>
      <c r="N422" s="27">
        <f>PK!M41</f>
        <v>0</v>
      </c>
      <c r="O422" s="27">
        <f>PK!N41</f>
        <v>0</v>
      </c>
      <c r="P422" s="27">
        <f>PK!O41</f>
        <v>0</v>
      </c>
      <c r="Q422" s="27">
        <f>PK!P41</f>
        <v>0</v>
      </c>
      <c r="R422" s="27">
        <f>PK!Q41</f>
        <v>0</v>
      </c>
      <c r="S422" s="27">
        <f>PK!R41</f>
        <v>0</v>
      </c>
      <c r="T422" s="27">
        <f>PK!S41</f>
        <v>0</v>
      </c>
      <c r="U422" s="27">
        <f>PK!T41</f>
        <v>0</v>
      </c>
      <c r="V422" s="27">
        <f>PK!U41</f>
        <v>0</v>
      </c>
      <c r="W422" s="27">
        <f>PK!V41</f>
        <v>0</v>
      </c>
      <c r="X422" s="27">
        <f>PK!W41</f>
        <v>0</v>
      </c>
      <c r="Y422" s="27">
        <f>PK!X41</f>
        <v>0</v>
      </c>
      <c r="Z422" s="27">
        <f>PK!Y41</f>
        <v>0</v>
      </c>
      <c r="AA422" s="27">
        <f>PK!Z41</f>
        <v>0</v>
      </c>
    </row>
    <row r="423" spans="4:27" x14ac:dyDescent="0.2">
      <c r="D423" s="4" t="s">
        <v>795</v>
      </c>
      <c r="E423" s="4">
        <v>6</v>
      </c>
      <c r="F423" s="4">
        <f>PK!G42</f>
        <v>31</v>
      </c>
      <c r="G423" s="4" t="str">
        <f>IF(PK!H42&lt;&gt;"",PK!H42,"")</f>
        <v/>
      </c>
      <c r="H423" s="26">
        <f t="shared" si="24"/>
        <v>0</v>
      </c>
      <c r="I423" s="27">
        <f t="shared" si="25"/>
        <v>0</v>
      </c>
      <c r="J423" s="27">
        <f>PK!I42</f>
        <v>0</v>
      </c>
      <c r="K423" s="27">
        <f>PK!J42</f>
        <v>0</v>
      </c>
      <c r="L423" s="27">
        <f>PK!K42</f>
        <v>0</v>
      </c>
      <c r="M423" s="27">
        <f>PK!L42</f>
        <v>0</v>
      </c>
      <c r="N423" s="27">
        <f>PK!M42</f>
        <v>0</v>
      </c>
      <c r="O423" s="27">
        <f>PK!N42</f>
        <v>0</v>
      </c>
      <c r="P423" s="27">
        <f>PK!O42</f>
        <v>0</v>
      </c>
      <c r="Q423" s="27">
        <f>PK!P42</f>
        <v>0</v>
      </c>
      <c r="R423" s="27">
        <f>PK!Q42</f>
        <v>0</v>
      </c>
      <c r="S423" s="27">
        <f>PK!R42</f>
        <v>0</v>
      </c>
      <c r="T423" s="27">
        <f>PK!S42</f>
        <v>0</v>
      </c>
      <c r="U423" s="27">
        <f>PK!T42</f>
        <v>0</v>
      </c>
      <c r="V423" s="27">
        <f>PK!U42</f>
        <v>0</v>
      </c>
      <c r="W423" s="27">
        <f>PK!V42</f>
        <v>0</v>
      </c>
      <c r="X423" s="27">
        <f>PK!W42</f>
        <v>0</v>
      </c>
      <c r="Y423" s="27">
        <f>PK!X42</f>
        <v>0</v>
      </c>
      <c r="Z423" s="27">
        <f>PK!Y42</f>
        <v>0</v>
      </c>
      <c r="AA423" s="27">
        <f>PK!Z42</f>
        <v>0</v>
      </c>
    </row>
    <row r="424" spans="4:27" x14ac:dyDescent="0.2">
      <c r="D424" s="4" t="s">
        <v>795</v>
      </c>
      <c r="E424" s="4">
        <v>6</v>
      </c>
      <c r="F424" s="4">
        <f>PK!G43</f>
        <v>32</v>
      </c>
      <c r="G424" s="4" t="str">
        <f>IF(PK!H43&lt;&gt;"",PK!H43,"")</f>
        <v/>
      </c>
      <c r="H424" s="26">
        <f t="shared" si="24"/>
        <v>0</v>
      </c>
      <c r="I424" s="27">
        <f t="shared" si="25"/>
        <v>0</v>
      </c>
      <c r="J424" s="27">
        <f>PK!I43</f>
        <v>0</v>
      </c>
      <c r="K424" s="27">
        <f>PK!J43</f>
        <v>0</v>
      </c>
      <c r="L424" s="27">
        <f>PK!K43</f>
        <v>0</v>
      </c>
      <c r="M424" s="27">
        <f>PK!L43</f>
        <v>0</v>
      </c>
      <c r="N424" s="27">
        <f>PK!M43</f>
        <v>0</v>
      </c>
      <c r="O424" s="27">
        <f>PK!N43</f>
        <v>0</v>
      </c>
      <c r="P424" s="27">
        <f>PK!O43</f>
        <v>0</v>
      </c>
      <c r="Q424" s="27">
        <f>PK!P43</f>
        <v>0</v>
      </c>
      <c r="R424" s="27">
        <f>PK!Q43</f>
        <v>0</v>
      </c>
      <c r="S424" s="27">
        <f>PK!R43</f>
        <v>0</v>
      </c>
      <c r="T424" s="27">
        <f>PK!S43</f>
        <v>0</v>
      </c>
      <c r="U424" s="27">
        <f>PK!T43</f>
        <v>0</v>
      </c>
      <c r="V424" s="27">
        <f>PK!U43</f>
        <v>0</v>
      </c>
      <c r="W424" s="27">
        <f>PK!V43</f>
        <v>0</v>
      </c>
      <c r="X424" s="27">
        <f>PK!W43</f>
        <v>0</v>
      </c>
      <c r="Y424" s="27">
        <f>PK!X43</f>
        <v>0</v>
      </c>
      <c r="Z424" s="27">
        <f>PK!Y43</f>
        <v>0</v>
      </c>
      <c r="AA424" s="27">
        <f>PK!Z43</f>
        <v>0</v>
      </c>
    </row>
    <row r="425" spans="4:27" x14ac:dyDescent="0.2">
      <c r="D425" s="4" t="s">
        <v>795</v>
      </c>
      <c r="E425" s="4">
        <v>6</v>
      </c>
      <c r="F425" s="4">
        <f>PK!G44</f>
        <v>33</v>
      </c>
      <c r="G425" s="4" t="str">
        <f>IF(PK!H44&lt;&gt;"",PK!H44,"")</f>
        <v/>
      </c>
      <c r="H425" s="26">
        <f t="shared" si="24"/>
        <v>0</v>
      </c>
      <c r="I425" s="27">
        <f t="shared" si="25"/>
        <v>0</v>
      </c>
      <c r="J425" s="27">
        <f>PK!I44</f>
        <v>0</v>
      </c>
      <c r="K425" s="27">
        <f>PK!J44</f>
        <v>0</v>
      </c>
      <c r="L425" s="27">
        <f>PK!K44</f>
        <v>0</v>
      </c>
      <c r="M425" s="27">
        <f>PK!L44</f>
        <v>0</v>
      </c>
      <c r="N425" s="27">
        <f>PK!M44</f>
        <v>0</v>
      </c>
      <c r="O425" s="27">
        <f>PK!N44</f>
        <v>0</v>
      </c>
      <c r="P425" s="27">
        <f>PK!O44</f>
        <v>0</v>
      </c>
      <c r="Q425" s="27">
        <f>PK!P44</f>
        <v>0</v>
      </c>
      <c r="R425" s="27">
        <f>PK!Q44</f>
        <v>0</v>
      </c>
      <c r="S425" s="27">
        <f>PK!R44</f>
        <v>0</v>
      </c>
      <c r="T425" s="27">
        <f>PK!S44</f>
        <v>0</v>
      </c>
      <c r="U425" s="27">
        <f>PK!T44</f>
        <v>0</v>
      </c>
      <c r="V425" s="27">
        <f>PK!U44</f>
        <v>0</v>
      </c>
      <c r="W425" s="27">
        <f>PK!V44</f>
        <v>0</v>
      </c>
      <c r="X425" s="27">
        <f>PK!W44</f>
        <v>0</v>
      </c>
      <c r="Y425" s="27">
        <f>PK!X44</f>
        <v>0</v>
      </c>
      <c r="Z425" s="27">
        <f>PK!Y44</f>
        <v>0</v>
      </c>
      <c r="AA425" s="27">
        <f>PK!Z44</f>
        <v>0</v>
      </c>
    </row>
    <row r="426" spans="4:27" x14ac:dyDescent="0.2">
      <c r="D426" s="4" t="s">
        <v>795</v>
      </c>
      <c r="E426" s="4">
        <v>6</v>
      </c>
      <c r="F426" s="4">
        <f>PK!G45</f>
        <v>34</v>
      </c>
      <c r="G426" s="4" t="str">
        <f>IF(PK!H45&lt;&gt;"",PK!H45,"")</f>
        <v/>
      </c>
      <c r="H426" s="26">
        <f t="shared" si="24"/>
        <v>0</v>
      </c>
      <c r="I426" s="27">
        <f t="shared" si="25"/>
        <v>0</v>
      </c>
      <c r="J426" s="27">
        <f>PK!I45</f>
        <v>0</v>
      </c>
      <c r="K426" s="27">
        <f>PK!J45</f>
        <v>0</v>
      </c>
      <c r="L426" s="27">
        <f>PK!K45</f>
        <v>0</v>
      </c>
      <c r="M426" s="27">
        <f>PK!L45</f>
        <v>0</v>
      </c>
      <c r="N426" s="27">
        <f>PK!M45</f>
        <v>0</v>
      </c>
      <c r="O426" s="27">
        <f>PK!N45</f>
        <v>0</v>
      </c>
      <c r="P426" s="27">
        <f>PK!O45</f>
        <v>0</v>
      </c>
      <c r="Q426" s="27">
        <f>PK!P45</f>
        <v>0</v>
      </c>
      <c r="R426" s="27">
        <f>PK!Q45</f>
        <v>0</v>
      </c>
      <c r="S426" s="27">
        <f>PK!R45</f>
        <v>0</v>
      </c>
      <c r="T426" s="27">
        <f>PK!S45</f>
        <v>0</v>
      </c>
      <c r="U426" s="27">
        <f>PK!T45</f>
        <v>0</v>
      </c>
      <c r="V426" s="27">
        <f>PK!U45</f>
        <v>0</v>
      </c>
      <c r="W426" s="27">
        <f>PK!V45</f>
        <v>0</v>
      </c>
      <c r="X426" s="27">
        <f>PK!W45</f>
        <v>0</v>
      </c>
      <c r="Y426" s="27">
        <f>PK!X45</f>
        <v>0</v>
      </c>
      <c r="Z426" s="27">
        <f>PK!Y45</f>
        <v>0</v>
      </c>
      <c r="AA426" s="27">
        <f>PK!Z45</f>
        <v>0</v>
      </c>
    </row>
    <row r="427" spans="4:27" x14ac:dyDescent="0.2">
      <c r="D427" s="4" t="s">
        <v>795</v>
      </c>
      <c r="E427" s="4">
        <v>6</v>
      </c>
      <c r="F427" s="4">
        <f>PK!G46</f>
        <v>35</v>
      </c>
      <c r="G427" s="4" t="str">
        <f>IF(PK!H46&lt;&gt;"",PK!H46,"")</f>
        <v/>
      </c>
      <c r="H427" s="26">
        <f t="shared" si="24"/>
        <v>0</v>
      </c>
      <c r="I427" s="27">
        <f t="shared" si="25"/>
        <v>0</v>
      </c>
      <c r="J427" s="27">
        <f>PK!I46</f>
        <v>0</v>
      </c>
      <c r="K427" s="27">
        <f>PK!J46</f>
        <v>0</v>
      </c>
      <c r="L427" s="27">
        <f>PK!K46</f>
        <v>0</v>
      </c>
      <c r="M427" s="27">
        <f>PK!L46</f>
        <v>0</v>
      </c>
      <c r="N427" s="27">
        <f>PK!M46</f>
        <v>0</v>
      </c>
      <c r="O427" s="27">
        <f>PK!N46</f>
        <v>0</v>
      </c>
      <c r="P427" s="27">
        <f>PK!O46</f>
        <v>0</v>
      </c>
      <c r="Q427" s="27">
        <f>PK!P46</f>
        <v>0</v>
      </c>
      <c r="R427" s="27">
        <f>PK!Q46</f>
        <v>0</v>
      </c>
      <c r="S427" s="27">
        <f>PK!R46</f>
        <v>0</v>
      </c>
      <c r="T427" s="27">
        <f>PK!S46</f>
        <v>0</v>
      </c>
      <c r="U427" s="27">
        <f>PK!T46</f>
        <v>0</v>
      </c>
      <c r="V427" s="27">
        <f>PK!U46</f>
        <v>0</v>
      </c>
      <c r="W427" s="27">
        <f>PK!V46</f>
        <v>0</v>
      </c>
      <c r="X427" s="27">
        <f>PK!W46</f>
        <v>0</v>
      </c>
      <c r="Y427" s="27">
        <f>PK!X46</f>
        <v>0</v>
      </c>
      <c r="Z427" s="27">
        <f>PK!Y46</f>
        <v>0</v>
      </c>
      <c r="AA427" s="27">
        <f>PK!Z46</f>
        <v>0</v>
      </c>
    </row>
    <row r="428" spans="4:27" x14ac:dyDescent="0.2">
      <c r="D428" s="4" t="s">
        <v>795</v>
      </c>
      <c r="E428" s="4">
        <v>6</v>
      </c>
      <c r="F428" s="4">
        <f>PK!G47</f>
        <v>36</v>
      </c>
      <c r="G428" s="4" t="str">
        <f>IF(PK!H47&lt;&gt;"",PK!H47,"")</f>
        <v/>
      </c>
      <c r="H428" s="26">
        <f t="shared" si="24"/>
        <v>0</v>
      </c>
      <c r="I428" s="27">
        <f t="shared" si="25"/>
        <v>0</v>
      </c>
      <c r="J428" s="27">
        <f>PK!I47</f>
        <v>0</v>
      </c>
      <c r="K428" s="27">
        <f>PK!J47</f>
        <v>0</v>
      </c>
      <c r="L428" s="27">
        <f>PK!K47</f>
        <v>0</v>
      </c>
      <c r="M428" s="27">
        <f>PK!L47</f>
        <v>0</v>
      </c>
      <c r="N428" s="27">
        <f>PK!M47</f>
        <v>0</v>
      </c>
      <c r="O428" s="27">
        <f>PK!N47</f>
        <v>0</v>
      </c>
      <c r="P428" s="27">
        <f>PK!O47</f>
        <v>0</v>
      </c>
      <c r="Q428" s="27">
        <f>PK!P47</f>
        <v>0</v>
      </c>
      <c r="R428" s="27">
        <f>PK!Q47</f>
        <v>0</v>
      </c>
      <c r="S428" s="27">
        <f>PK!R47</f>
        <v>0</v>
      </c>
      <c r="T428" s="27">
        <f>PK!S47</f>
        <v>0</v>
      </c>
      <c r="U428" s="27">
        <f>PK!T47</f>
        <v>0</v>
      </c>
      <c r="V428" s="27">
        <f>PK!U47</f>
        <v>0</v>
      </c>
      <c r="W428" s="27">
        <f>PK!V47</f>
        <v>0</v>
      </c>
      <c r="X428" s="27">
        <f>PK!W47</f>
        <v>0</v>
      </c>
      <c r="Y428" s="27">
        <f>PK!X47</f>
        <v>0</v>
      </c>
      <c r="Z428" s="27">
        <f>PK!Y47</f>
        <v>0</v>
      </c>
      <c r="AA428" s="27">
        <f>PK!Z47</f>
        <v>0</v>
      </c>
    </row>
    <row r="429" spans="4:27" x14ac:dyDescent="0.2">
      <c r="D429" s="4" t="s">
        <v>795</v>
      </c>
      <c r="E429" s="4">
        <v>6</v>
      </c>
      <c r="F429" s="4">
        <f>PK!G48</f>
        <v>37</v>
      </c>
      <c r="G429" s="4" t="str">
        <f>IF(PK!H48&lt;&gt;"",PK!H48,"")</f>
        <v/>
      </c>
      <c r="H429" s="26">
        <f t="shared" si="24"/>
        <v>0</v>
      </c>
      <c r="I429" s="27">
        <f t="shared" si="25"/>
        <v>0</v>
      </c>
      <c r="J429" s="27">
        <f>PK!I48</f>
        <v>0</v>
      </c>
      <c r="K429" s="27">
        <f>PK!J48</f>
        <v>0</v>
      </c>
      <c r="L429" s="27">
        <f>PK!K48</f>
        <v>0</v>
      </c>
      <c r="M429" s="27">
        <f>PK!L48</f>
        <v>0</v>
      </c>
      <c r="N429" s="27">
        <f>PK!M48</f>
        <v>0</v>
      </c>
      <c r="O429" s="27">
        <f>PK!N48</f>
        <v>0</v>
      </c>
      <c r="P429" s="27">
        <f>PK!O48</f>
        <v>0</v>
      </c>
      <c r="Q429" s="27">
        <f>PK!P48</f>
        <v>0</v>
      </c>
      <c r="R429" s="27">
        <f>PK!Q48</f>
        <v>0</v>
      </c>
      <c r="S429" s="27">
        <f>PK!R48</f>
        <v>0</v>
      </c>
      <c r="T429" s="27">
        <f>PK!S48</f>
        <v>0</v>
      </c>
      <c r="U429" s="27">
        <f>PK!T48</f>
        <v>0</v>
      </c>
      <c r="V429" s="27">
        <f>PK!U48</f>
        <v>0</v>
      </c>
      <c r="W429" s="27">
        <f>PK!V48</f>
        <v>0</v>
      </c>
      <c r="X429" s="27">
        <f>PK!W48</f>
        <v>0</v>
      </c>
      <c r="Y429" s="27">
        <f>PK!X48</f>
        <v>0</v>
      </c>
      <c r="Z429" s="27">
        <f>PK!Y48</f>
        <v>0</v>
      </c>
      <c r="AA429" s="27">
        <f>PK!Z48</f>
        <v>0</v>
      </c>
    </row>
    <row r="430" spans="4:27" x14ac:dyDescent="0.2">
      <c r="D430" s="4" t="s">
        <v>795</v>
      </c>
      <c r="E430" s="4">
        <v>6</v>
      </c>
      <c r="F430" s="4">
        <f>PK!G49</f>
        <v>38</v>
      </c>
      <c r="G430" s="4" t="str">
        <f>IF(PK!H49&lt;&gt;"",PK!H49,"")</f>
        <v/>
      </c>
      <c r="H430" s="26">
        <f t="shared" si="24"/>
        <v>0</v>
      </c>
      <c r="I430" s="27">
        <f t="shared" si="25"/>
        <v>0</v>
      </c>
      <c r="J430" s="27">
        <f>PK!I49</f>
        <v>0</v>
      </c>
      <c r="K430" s="27">
        <f>PK!J49</f>
        <v>0</v>
      </c>
      <c r="L430" s="27">
        <f>PK!K49</f>
        <v>0</v>
      </c>
      <c r="M430" s="27">
        <f>PK!L49</f>
        <v>0</v>
      </c>
      <c r="N430" s="27">
        <f>PK!M49</f>
        <v>0</v>
      </c>
      <c r="O430" s="27">
        <f>PK!N49</f>
        <v>0</v>
      </c>
      <c r="P430" s="27">
        <f>PK!O49</f>
        <v>0</v>
      </c>
      <c r="Q430" s="27">
        <f>PK!P49</f>
        <v>0</v>
      </c>
      <c r="R430" s="27">
        <f>PK!Q49</f>
        <v>0</v>
      </c>
      <c r="S430" s="27">
        <f>PK!R49</f>
        <v>0</v>
      </c>
      <c r="T430" s="27">
        <f>PK!S49</f>
        <v>0</v>
      </c>
      <c r="U430" s="27">
        <f>PK!T49</f>
        <v>0</v>
      </c>
      <c r="V430" s="27">
        <f>PK!U49</f>
        <v>0</v>
      </c>
      <c r="W430" s="27">
        <f>PK!V49</f>
        <v>0</v>
      </c>
      <c r="X430" s="27">
        <f>PK!W49</f>
        <v>0</v>
      </c>
      <c r="Y430" s="27">
        <f>PK!X49</f>
        <v>0</v>
      </c>
      <c r="Z430" s="27">
        <f>PK!Y49</f>
        <v>0</v>
      </c>
      <c r="AA430" s="27">
        <f>PK!Z49</f>
        <v>0</v>
      </c>
    </row>
    <row r="431" spans="4:27" x14ac:dyDescent="0.2">
      <c r="D431" s="4" t="s">
        <v>795</v>
      </c>
      <c r="E431" s="4">
        <v>6</v>
      </c>
      <c r="F431" s="4">
        <f>PK!G50</f>
        <v>39</v>
      </c>
      <c r="G431" s="4" t="str">
        <f>IF(PK!H50&lt;&gt;"",PK!H50,"")</f>
        <v/>
      </c>
      <c r="H431" s="26">
        <f t="shared" si="24"/>
        <v>0</v>
      </c>
      <c r="I431" s="27">
        <f t="shared" si="25"/>
        <v>0</v>
      </c>
      <c r="J431" s="27">
        <f>PK!I50</f>
        <v>0</v>
      </c>
      <c r="K431" s="27">
        <f>PK!J50</f>
        <v>0</v>
      </c>
      <c r="L431" s="27">
        <f>PK!K50</f>
        <v>0</v>
      </c>
      <c r="M431" s="27">
        <f>PK!L50</f>
        <v>0</v>
      </c>
      <c r="N431" s="27">
        <f>PK!M50</f>
        <v>0</v>
      </c>
      <c r="O431" s="27">
        <f>PK!N50</f>
        <v>0</v>
      </c>
      <c r="P431" s="27">
        <f>PK!O50</f>
        <v>0</v>
      </c>
      <c r="Q431" s="27">
        <f>PK!P50</f>
        <v>0</v>
      </c>
      <c r="R431" s="27">
        <f>PK!Q50</f>
        <v>0</v>
      </c>
      <c r="S431" s="27">
        <f>PK!R50</f>
        <v>0</v>
      </c>
      <c r="T431" s="27">
        <f>PK!S50</f>
        <v>0</v>
      </c>
      <c r="U431" s="27">
        <f>PK!T50</f>
        <v>0</v>
      </c>
      <c r="V431" s="27">
        <f>PK!U50</f>
        <v>0</v>
      </c>
      <c r="W431" s="27">
        <f>PK!V50</f>
        <v>0</v>
      </c>
      <c r="X431" s="27">
        <f>PK!W50</f>
        <v>0</v>
      </c>
      <c r="Y431" s="27">
        <f>PK!X50</f>
        <v>0</v>
      </c>
      <c r="Z431" s="27">
        <f>PK!Y50</f>
        <v>0</v>
      </c>
      <c r="AA431" s="27">
        <f>PK!Z50</f>
        <v>0</v>
      </c>
    </row>
    <row r="432" spans="4:27" x14ac:dyDescent="0.2">
      <c r="D432" s="4" t="s">
        <v>795</v>
      </c>
      <c r="E432" s="4">
        <v>6</v>
      </c>
      <c r="F432" s="4">
        <f>PK!G51</f>
        <v>40</v>
      </c>
      <c r="G432" s="4" t="str">
        <f>IF(PK!H51&lt;&gt;"",PK!H51,"")</f>
        <v/>
      </c>
      <c r="H432" s="26">
        <f t="shared" si="24"/>
        <v>0</v>
      </c>
      <c r="I432" s="27">
        <f t="shared" si="25"/>
        <v>0</v>
      </c>
      <c r="J432" s="27">
        <f>PK!I51</f>
        <v>0</v>
      </c>
      <c r="K432" s="27">
        <f>PK!J51</f>
        <v>0</v>
      </c>
      <c r="L432" s="27">
        <f>PK!K51</f>
        <v>0</v>
      </c>
      <c r="M432" s="27">
        <f>PK!L51</f>
        <v>0</v>
      </c>
      <c r="N432" s="27">
        <f>PK!M51</f>
        <v>0</v>
      </c>
      <c r="O432" s="27">
        <f>PK!N51</f>
        <v>0</v>
      </c>
      <c r="P432" s="27">
        <f>PK!O51</f>
        <v>0</v>
      </c>
      <c r="Q432" s="27">
        <f>PK!P51</f>
        <v>0</v>
      </c>
      <c r="R432" s="27">
        <f>PK!Q51</f>
        <v>0</v>
      </c>
      <c r="S432" s="27">
        <f>PK!R51</f>
        <v>0</v>
      </c>
      <c r="T432" s="27">
        <f>PK!S51</f>
        <v>0</v>
      </c>
      <c r="U432" s="27">
        <f>PK!T51</f>
        <v>0</v>
      </c>
      <c r="V432" s="27">
        <f>PK!U51</f>
        <v>0</v>
      </c>
      <c r="W432" s="27">
        <f>PK!V51</f>
        <v>0</v>
      </c>
      <c r="X432" s="27">
        <f>PK!W51</f>
        <v>0</v>
      </c>
      <c r="Y432" s="27">
        <f>PK!X51</f>
        <v>0</v>
      </c>
      <c r="Z432" s="27">
        <f>PK!Y51</f>
        <v>0</v>
      </c>
      <c r="AA432" s="27">
        <f>PK!Z51</f>
        <v>0</v>
      </c>
    </row>
    <row r="433" spans="4:27" x14ac:dyDescent="0.2">
      <c r="D433" s="4" t="s">
        <v>795</v>
      </c>
      <c r="E433" s="4">
        <v>6</v>
      </c>
      <c r="F433" s="4">
        <f>PK!G52</f>
        <v>41</v>
      </c>
      <c r="G433" s="4" t="str">
        <f>IF(PK!H52&lt;&gt;"",PK!H52,"")</f>
        <v/>
      </c>
      <c r="H433" s="26">
        <f t="shared" si="24"/>
        <v>0</v>
      </c>
      <c r="I433" s="27">
        <f t="shared" si="25"/>
        <v>0</v>
      </c>
      <c r="J433" s="27">
        <f>PK!I52</f>
        <v>0</v>
      </c>
      <c r="K433" s="27">
        <f>PK!J52</f>
        <v>0</v>
      </c>
      <c r="L433" s="27">
        <f>PK!K52</f>
        <v>0</v>
      </c>
      <c r="M433" s="27">
        <f>PK!L52</f>
        <v>0</v>
      </c>
      <c r="N433" s="27">
        <f>PK!M52</f>
        <v>0</v>
      </c>
      <c r="O433" s="27">
        <f>PK!N52</f>
        <v>0</v>
      </c>
      <c r="P433" s="27">
        <f>PK!O52</f>
        <v>0</v>
      </c>
      <c r="Q433" s="27">
        <f>PK!P52</f>
        <v>0</v>
      </c>
      <c r="R433" s="27">
        <f>PK!Q52</f>
        <v>0</v>
      </c>
      <c r="S433" s="27">
        <f>PK!R52</f>
        <v>0</v>
      </c>
      <c r="T433" s="27">
        <f>PK!S52</f>
        <v>0</v>
      </c>
      <c r="U433" s="27">
        <f>PK!T52</f>
        <v>0</v>
      </c>
      <c r="V433" s="27">
        <f>PK!U52</f>
        <v>0</v>
      </c>
      <c r="W433" s="27">
        <f>PK!V52</f>
        <v>0</v>
      </c>
      <c r="X433" s="27">
        <f>PK!W52</f>
        <v>0</v>
      </c>
      <c r="Y433" s="27">
        <f>PK!X52</f>
        <v>0</v>
      </c>
      <c r="Z433" s="27">
        <f>PK!Y52</f>
        <v>0</v>
      </c>
      <c r="AA433" s="27">
        <f>PK!Z52</f>
        <v>0</v>
      </c>
    </row>
    <row r="434" spans="4:27" x14ac:dyDescent="0.2">
      <c r="D434" s="4" t="s">
        <v>795</v>
      </c>
      <c r="E434" s="4">
        <v>6</v>
      </c>
      <c r="F434" s="4">
        <f>PK!G53</f>
        <v>42</v>
      </c>
      <c r="G434" s="4" t="str">
        <f>IF(PK!H53&lt;&gt;"",PK!H53,"")</f>
        <v/>
      </c>
      <c r="H434" s="26">
        <f t="shared" si="24"/>
        <v>0</v>
      </c>
      <c r="I434" s="27">
        <f t="shared" si="25"/>
        <v>0</v>
      </c>
      <c r="J434" s="27">
        <f>PK!I53</f>
        <v>0</v>
      </c>
      <c r="K434" s="27">
        <f>PK!J53</f>
        <v>0</v>
      </c>
      <c r="L434" s="27">
        <f>PK!K53</f>
        <v>0</v>
      </c>
      <c r="M434" s="27">
        <f>PK!L53</f>
        <v>0</v>
      </c>
      <c r="N434" s="27">
        <f>PK!M53</f>
        <v>0</v>
      </c>
      <c r="O434" s="27">
        <f>PK!N53</f>
        <v>0</v>
      </c>
      <c r="P434" s="27">
        <f>PK!O53</f>
        <v>0</v>
      </c>
      <c r="Q434" s="27">
        <f>PK!P53</f>
        <v>0</v>
      </c>
      <c r="R434" s="27">
        <f>PK!Q53</f>
        <v>0</v>
      </c>
      <c r="S434" s="27">
        <f>PK!R53</f>
        <v>0</v>
      </c>
      <c r="T434" s="27">
        <f>PK!S53</f>
        <v>0</v>
      </c>
      <c r="U434" s="27">
        <f>PK!T53</f>
        <v>0</v>
      </c>
      <c r="V434" s="27">
        <f>PK!U53</f>
        <v>0</v>
      </c>
      <c r="W434" s="27">
        <f>PK!V53</f>
        <v>0</v>
      </c>
      <c r="X434" s="27">
        <f>PK!W53</f>
        <v>0</v>
      </c>
      <c r="Y434" s="27">
        <f>PK!X53</f>
        <v>0</v>
      </c>
      <c r="Z434" s="27">
        <f>PK!Y53</f>
        <v>0</v>
      </c>
      <c r="AA434" s="27">
        <f>PK!Z53</f>
        <v>0</v>
      </c>
    </row>
    <row r="435" spans="4:27" x14ac:dyDescent="0.2">
      <c r="D435" s="4" t="s">
        <v>795</v>
      </c>
      <c r="E435" s="4">
        <v>6</v>
      </c>
      <c r="F435" s="4">
        <f>PK!G54</f>
        <v>43</v>
      </c>
      <c r="G435" s="4" t="str">
        <f>IF(PK!H54&lt;&gt;"",PK!H54,"")</f>
        <v/>
      </c>
      <c r="H435" s="26">
        <f t="shared" si="24"/>
        <v>0</v>
      </c>
      <c r="I435" s="27">
        <f t="shared" si="25"/>
        <v>0</v>
      </c>
      <c r="J435" s="27">
        <f>PK!I54</f>
        <v>0</v>
      </c>
      <c r="K435" s="27">
        <f>PK!J54</f>
        <v>0</v>
      </c>
      <c r="L435" s="27">
        <f>PK!K54</f>
        <v>0</v>
      </c>
      <c r="M435" s="27">
        <f>PK!L54</f>
        <v>0</v>
      </c>
      <c r="N435" s="27">
        <f>PK!M54</f>
        <v>0</v>
      </c>
      <c r="O435" s="27">
        <f>PK!N54</f>
        <v>0</v>
      </c>
      <c r="P435" s="27">
        <f>PK!O54</f>
        <v>0</v>
      </c>
      <c r="Q435" s="27">
        <f>PK!P54</f>
        <v>0</v>
      </c>
      <c r="R435" s="27">
        <f>PK!Q54</f>
        <v>0</v>
      </c>
      <c r="S435" s="27">
        <f>PK!R54</f>
        <v>0</v>
      </c>
      <c r="T435" s="27">
        <f>PK!S54</f>
        <v>0</v>
      </c>
      <c r="U435" s="27">
        <f>PK!T54</f>
        <v>0</v>
      </c>
      <c r="V435" s="27">
        <f>PK!U54</f>
        <v>0</v>
      </c>
      <c r="W435" s="27">
        <f>PK!V54</f>
        <v>0</v>
      </c>
      <c r="X435" s="27">
        <f>PK!W54</f>
        <v>0</v>
      </c>
      <c r="Y435" s="27">
        <f>PK!X54</f>
        <v>0</v>
      </c>
      <c r="Z435" s="27">
        <f>PK!Y54</f>
        <v>0</v>
      </c>
      <c r="AA435" s="27">
        <f>PK!Z54</f>
        <v>0</v>
      </c>
    </row>
    <row r="436" spans="4:27" x14ac:dyDescent="0.2">
      <c r="D436" s="4" t="s">
        <v>795</v>
      </c>
      <c r="E436" s="4">
        <v>6</v>
      </c>
      <c r="F436" s="4">
        <f>PK!G55</f>
        <v>44</v>
      </c>
      <c r="G436" s="4" t="str">
        <f>IF(PK!H55&lt;&gt;"",PK!H55,"")</f>
        <v/>
      </c>
      <c r="H436" s="26">
        <f t="shared" si="24"/>
        <v>0</v>
      </c>
      <c r="I436" s="27">
        <f t="shared" si="25"/>
        <v>0</v>
      </c>
      <c r="J436" s="27">
        <f>PK!I55</f>
        <v>0</v>
      </c>
      <c r="K436" s="27">
        <f>PK!J55</f>
        <v>0</v>
      </c>
      <c r="L436" s="27">
        <f>PK!K55</f>
        <v>0</v>
      </c>
      <c r="M436" s="27">
        <f>PK!L55</f>
        <v>0</v>
      </c>
      <c r="N436" s="27">
        <f>PK!M55</f>
        <v>0</v>
      </c>
      <c r="O436" s="27">
        <f>PK!N55</f>
        <v>0</v>
      </c>
      <c r="P436" s="27">
        <f>PK!O55</f>
        <v>0</v>
      </c>
      <c r="Q436" s="27">
        <f>PK!P55</f>
        <v>0</v>
      </c>
      <c r="R436" s="27">
        <f>PK!Q55</f>
        <v>0</v>
      </c>
      <c r="S436" s="27">
        <f>PK!R55</f>
        <v>0</v>
      </c>
      <c r="T436" s="27">
        <f>PK!S55</f>
        <v>0</v>
      </c>
      <c r="U436" s="27">
        <f>PK!T55</f>
        <v>0</v>
      </c>
      <c r="V436" s="27">
        <f>PK!U55</f>
        <v>0</v>
      </c>
      <c r="W436" s="27">
        <f>PK!V55</f>
        <v>0</v>
      </c>
      <c r="X436" s="27">
        <f>PK!W55</f>
        <v>0</v>
      </c>
      <c r="Y436" s="27">
        <f>PK!X55</f>
        <v>0</v>
      </c>
      <c r="Z436" s="27">
        <f>PK!Y55</f>
        <v>0</v>
      </c>
      <c r="AA436" s="27">
        <f>PK!Z55</f>
        <v>0</v>
      </c>
    </row>
    <row r="437" spans="4:27" x14ac:dyDescent="0.2">
      <c r="D437" s="4" t="s">
        <v>795</v>
      </c>
      <c r="E437" s="4">
        <v>6</v>
      </c>
      <c r="F437" s="4">
        <f>PK!G56</f>
        <v>45</v>
      </c>
      <c r="G437" s="4" t="str">
        <f>IF(PK!H56&lt;&gt;"",PK!H56,"")</f>
        <v/>
      </c>
      <c r="H437" s="26">
        <f t="shared" si="24"/>
        <v>0</v>
      </c>
      <c r="I437" s="27">
        <f t="shared" si="25"/>
        <v>0</v>
      </c>
      <c r="J437" s="27">
        <f>PK!I56</f>
        <v>0</v>
      </c>
      <c r="K437" s="27">
        <f>PK!J56</f>
        <v>0</v>
      </c>
      <c r="L437" s="27">
        <f>PK!K56</f>
        <v>0</v>
      </c>
      <c r="M437" s="27">
        <f>PK!L56</f>
        <v>0</v>
      </c>
      <c r="N437" s="27">
        <f>PK!M56</f>
        <v>0</v>
      </c>
      <c r="O437" s="27">
        <f>PK!N56</f>
        <v>0</v>
      </c>
      <c r="P437" s="27">
        <f>PK!O56</f>
        <v>0</v>
      </c>
      <c r="Q437" s="27">
        <f>PK!P56</f>
        <v>0</v>
      </c>
      <c r="R437" s="27">
        <f>PK!Q56</f>
        <v>0</v>
      </c>
      <c r="S437" s="27">
        <f>PK!R56</f>
        <v>0</v>
      </c>
      <c r="T437" s="27">
        <f>PK!S56</f>
        <v>0</v>
      </c>
      <c r="U437" s="27">
        <f>PK!T56</f>
        <v>0</v>
      </c>
      <c r="V437" s="27">
        <f>PK!U56</f>
        <v>0</v>
      </c>
      <c r="W437" s="27">
        <f>PK!V56</f>
        <v>0</v>
      </c>
      <c r="X437" s="27">
        <f>PK!W56</f>
        <v>0</v>
      </c>
      <c r="Y437" s="27">
        <f>PK!X56</f>
        <v>0</v>
      </c>
      <c r="Z437" s="27">
        <f>PK!Y56</f>
        <v>0</v>
      </c>
      <c r="AA437" s="27">
        <f>PK!Z56</f>
        <v>0</v>
      </c>
    </row>
    <row r="438" spans="4:27" x14ac:dyDescent="0.2">
      <c r="D438" s="4" t="s">
        <v>795</v>
      </c>
      <c r="E438" s="4">
        <v>6</v>
      </c>
      <c r="F438" s="4">
        <f>PK!G57</f>
        <v>46</v>
      </c>
      <c r="G438" s="4" t="str">
        <f>IF(PK!H57&lt;&gt;"",PK!H57,"")</f>
        <v/>
      </c>
      <c r="H438" s="26">
        <f t="shared" si="24"/>
        <v>0</v>
      </c>
      <c r="I438" s="27">
        <f t="shared" si="25"/>
        <v>0</v>
      </c>
      <c r="J438" s="27">
        <f>PK!I57</f>
        <v>0</v>
      </c>
      <c r="K438" s="27">
        <f>PK!J57</f>
        <v>0</v>
      </c>
      <c r="L438" s="27">
        <f>PK!K57</f>
        <v>0</v>
      </c>
      <c r="M438" s="27">
        <f>PK!L57</f>
        <v>0</v>
      </c>
      <c r="N438" s="27">
        <f>PK!M57</f>
        <v>0</v>
      </c>
      <c r="O438" s="27">
        <f>PK!N57</f>
        <v>0</v>
      </c>
      <c r="P438" s="27">
        <f>PK!O57</f>
        <v>0</v>
      </c>
      <c r="Q438" s="27">
        <f>PK!P57</f>
        <v>0</v>
      </c>
      <c r="R438" s="27">
        <f>PK!Q57</f>
        <v>0</v>
      </c>
      <c r="S438" s="27">
        <f>PK!R57</f>
        <v>0</v>
      </c>
      <c r="T438" s="27">
        <f>PK!S57</f>
        <v>0</v>
      </c>
      <c r="U438" s="27">
        <f>PK!T57</f>
        <v>0</v>
      </c>
      <c r="V438" s="27">
        <f>PK!U57</f>
        <v>0</v>
      </c>
      <c r="W438" s="27">
        <f>PK!V57</f>
        <v>0</v>
      </c>
      <c r="X438" s="27">
        <f>PK!W57</f>
        <v>0</v>
      </c>
      <c r="Y438" s="27">
        <f>PK!X57</f>
        <v>0</v>
      </c>
      <c r="Z438" s="27">
        <f>PK!Y57</f>
        <v>0</v>
      </c>
      <c r="AA438" s="27">
        <f>PK!Z57</f>
        <v>0</v>
      </c>
    </row>
    <row r="439" spans="4:27" x14ac:dyDescent="0.2">
      <c r="D439" s="4" t="s">
        <v>795</v>
      </c>
      <c r="E439" s="4">
        <v>6</v>
      </c>
      <c r="F439" s="4">
        <f>PK!G58</f>
        <v>47</v>
      </c>
      <c r="G439" s="4" t="str">
        <f>IF(PK!H58&lt;&gt;"",PK!H58,"")</f>
        <v/>
      </c>
      <c r="H439" s="26">
        <f t="shared" si="24"/>
        <v>0</v>
      </c>
      <c r="I439" s="27">
        <f t="shared" si="25"/>
        <v>0</v>
      </c>
      <c r="J439" s="27">
        <f>PK!I58</f>
        <v>0</v>
      </c>
      <c r="K439" s="27">
        <f>PK!J58</f>
        <v>0</v>
      </c>
      <c r="L439" s="27">
        <f>PK!K58</f>
        <v>0</v>
      </c>
      <c r="M439" s="27">
        <f>PK!L58</f>
        <v>0</v>
      </c>
      <c r="N439" s="27">
        <f>PK!M58</f>
        <v>0</v>
      </c>
      <c r="O439" s="27">
        <f>PK!N58</f>
        <v>0</v>
      </c>
      <c r="P439" s="27">
        <f>PK!O58</f>
        <v>0</v>
      </c>
      <c r="Q439" s="27">
        <f>PK!P58</f>
        <v>0</v>
      </c>
      <c r="R439" s="27">
        <f>PK!Q58</f>
        <v>0</v>
      </c>
      <c r="S439" s="27">
        <f>PK!R58</f>
        <v>0</v>
      </c>
      <c r="T439" s="27">
        <f>PK!S58</f>
        <v>0</v>
      </c>
      <c r="U439" s="27">
        <f>PK!T58</f>
        <v>0</v>
      </c>
      <c r="V439" s="27">
        <f>PK!U58</f>
        <v>0</v>
      </c>
      <c r="W439" s="27">
        <f>PK!V58</f>
        <v>0</v>
      </c>
      <c r="X439" s="27">
        <f>PK!W58</f>
        <v>0</v>
      </c>
      <c r="Y439" s="27">
        <f>PK!X58</f>
        <v>0</v>
      </c>
      <c r="Z439" s="27">
        <f>PK!Y58</f>
        <v>0</v>
      </c>
      <c r="AA439" s="27">
        <f>PK!Z58</f>
        <v>0</v>
      </c>
    </row>
    <row r="440" spans="4:27" x14ac:dyDescent="0.2">
      <c r="D440" s="4" t="s">
        <v>795</v>
      </c>
      <c r="E440" s="4">
        <v>6</v>
      </c>
      <c r="F440" s="4">
        <f>PK!G59</f>
        <v>48</v>
      </c>
      <c r="G440" s="4" t="str">
        <f>IF(PK!H59&lt;&gt;"",PK!H59,"")</f>
        <v/>
      </c>
      <c r="H440" s="26">
        <f t="shared" si="24"/>
        <v>0</v>
      </c>
      <c r="I440" s="27">
        <f t="shared" si="25"/>
        <v>0</v>
      </c>
      <c r="J440" s="27">
        <f>PK!I59</f>
        <v>0</v>
      </c>
      <c r="K440" s="27">
        <f>PK!J59</f>
        <v>0</v>
      </c>
      <c r="L440" s="27">
        <f>PK!K59</f>
        <v>0</v>
      </c>
      <c r="M440" s="27">
        <f>PK!L59</f>
        <v>0</v>
      </c>
      <c r="N440" s="27">
        <f>PK!M59</f>
        <v>0</v>
      </c>
      <c r="O440" s="27">
        <f>PK!N59</f>
        <v>0</v>
      </c>
      <c r="P440" s="27">
        <f>PK!O59</f>
        <v>0</v>
      </c>
      <c r="Q440" s="27">
        <f>PK!P59</f>
        <v>0</v>
      </c>
      <c r="R440" s="27">
        <f>PK!Q59</f>
        <v>0</v>
      </c>
      <c r="S440" s="27">
        <f>PK!R59</f>
        <v>0</v>
      </c>
      <c r="T440" s="27">
        <f>PK!S59</f>
        <v>0</v>
      </c>
      <c r="U440" s="27">
        <f>PK!T59</f>
        <v>0</v>
      </c>
      <c r="V440" s="27">
        <f>PK!U59</f>
        <v>0</v>
      </c>
      <c r="W440" s="27">
        <f>PK!V59</f>
        <v>0</v>
      </c>
      <c r="X440" s="27">
        <f>PK!W59</f>
        <v>0</v>
      </c>
      <c r="Y440" s="27">
        <f>PK!X59</f>
        <v>0</v>
      </c>
      <c r="Z440" s="27">
        <f>PK!Y59</f>
        <v>0</v>
      </c>
      <c r="AA440" s="27">
        <f>PK!Z59</f>
        <v>0</v>
      </c>
    </row>
    <row r="441" spans="4:27" x14ac:dyDescent="0.2">
      <c r="D441" s="4" t="s">
        <v>795</v>
      </c>
      <c r="E441" s="4">
        <v>6</v>
      </c>
      <c r="F441" s="4">
        <f>PK!G60</f>
        <v>49</v>
      </c>
      <c r="G441" s="4" t="str">
        <f>IF(PK!H60&lt;&gt;"",PK!H60,"")</f>
        <v/>
      </c>
      <c r="H441" s="26">
        <f t="shared" si="24"/>
        <v>0</v>
      </c>
      <c r="I441" s="27">
        <f t="shared" si="25"/>
        <v>0</v>
      </c>
      <c r="J441" s="27">
        <f>PK!I60</f>
        <v>0</v>
      </c>
      <c r="K441" s="27">
        <f>PK!J60</f>
        <v>0</v>
      </c>
      <c r="L441" s="27">
        <f>PK!K60</f>
        <v>0</v>
      </c>
      <c r="M441" s="27">
        <f>PK!L60</f>
        <v>0</v>
      </c>
      <c r="N441" s="27">
        <f>PK!M60</f>
        <v>0</v>
      </c>
      <c r="O441" s="27">
        <f>PK!N60</f>
        <v>0</v>
      </c>
      <c r="P441" s="27">
        <f>PK!O60</f>
        <v>0</v>
      </c>
      <c r="Q441" s="27">
        <f>PK!P60</f>
        <v>0</v>
      </c>
      <c r="R441" s="27">
        <f>PK!Q60</f>
        <v>0</v>
      </c>
      <c r="S441" s="27">
        <f>PK!R60</f>
        <v>0</v>
      </c>
      <c r="T441" s="27">
        <f>PK!S60</f>
        <v>0</v>
      </c>
      <c r="U441" s="27">
        <f>PK!T60</f>
        <v>0</v>
      </c>
      <c r="V441" s="27">
        <f>PK!U60</f>
        <v>0</v>
      </c>
      <c r="W441" s="27">
        <f>PK!V60</f>
        <v>0</v>
      </c>
      <c r="X441" s="27">
        <f>PK!W60</f>
        <v>0</v>
      </c>
      <c r="Y441" s="27">
        <f>PK!X60</f>
        <v>0</v>
      </c>
      <c r="Z441" s="27">
        <f>PK!Y60</f>
        <v>0</v>
      </c>
      <c r="AA441" s="27">
        <f>PK!Z60</f>
        <v>0</v>
      </c>
    </row>
    <row r="442" spans="4:27" x14ac:dyDescent="0.2">
      <c r="D442" s="4" t="s">
        <v>795</v>
      </c>
      <c r="E442" s="4">
        <v>6</v>
      </c>
      <c r="F442" s="4">
        <f>PK!G61</f>
        <v>50</v>
      </c>
      <c r="G442" s="4" t="str">
        <f>IF(PK!H61&lt;&gt;"",PK!H61,"")</f>
        <v/>
      </c>
      <c r="H442" s="26">
        <f t="shared" si="24"/>
        <v>0</v>
      </c>
      <c r="I442" s="27">
        <f t="shared" si="25"/>
        <v>0</v>
      </c>
      <c r="J442" s="27">
        <f>PK!I61</f>
        <v>0</v>
      </c>
      <c r="K442" s="27">
        <f>PK!J61</f>
        <v>0</v>
      </c>
      <c r="L442" s="27">
        <f>PK!K61</f>
        <v>0</v>
      </c>
      <c r="M442" s="27">
        <f>PK!L61</f>
        <v>0</v>
      </c>
      <c r="N442" s="27">
        <f>PK!M61</f>
        <v>0</v>
      </c>
      <c r="O442" s="27">
        <f>PK!N61</f>
        <v>0</v>
      </c>
      <c r="P442" s="27">
        <f>PK!O61</f>
        <v>0</v>
      </c>
      <c r="Q442" s="27">
        <f>PK!P61</f>
        <v>0</v>
      </c>
      <c r="R442" s="27">
        <f>PK!Q61</f>
        <v>0</v>
      </c>
      <c r="S442" s="27">
        <f>PK!R61</f>
        <v>0</v>
      </c>
      <c r="T442" s="27">
        <f>PK!S61</f>
        <v>0</v>
      </c>
      <c r="U442" s="27">
        <f>PK!T61</f>
        <v>0</v>
      </c>
      <c r="V442" s="27">
        <f>PK!U61</f>
        <v>0</v>
      </c>
      <c r="W442" s="27">
        <f>PK!V61</f>
        <v>0</v>
      </c>
      <c r="X442" s="27">
        <f>PK!W61</f>
        <v>0</v>
      </c>
      <c r="Y442" s="27">
        <f>PK!X61</f>
        <v>0</v>
      </c>
      <c r="Z442" s="27">
        <f>PK!Y61</f>
        <v>0</v>
      </c>
      <c r="AA442" s="27">
        <f>PK!Z61</f>
        <v>0</v>
      </c>
    </row>
    <row r="443" spans="4:27" x14ac:dyDescent="0.2">
      <c r="D443" s="4" t="s">
        <v>795</v>
      </c>
      <c r="E443" s="4">
        <v>6</v>
      </c>
      <c r="F443" s="4">
        <f>PK!G62</f>
        <v>51</v>
      </c>
      <c r="G443" s="4" t="str">
        <f>IF(PK!H62&lt;&gt;"",PK!H62,"")</f>
        <v/>
      </c>
      <c r="H443" s="26">
        <f t="shared" si="24"/>
        <v>0</v>
      </c>
      <c r="I443" s="27">
        <f t="shared" si="25"/>
        <v>0</v>
      </c>
      <c r="J443" s="27">
        <f>PK!I62</f>
        <v>0</v>
      </c>
      <c r="K443" s="27">
        <f>PK!J62</f>
        <v>0</v>
      </c>
      <c r="L443" s="27">
        <f>PK!K62</f>
        <v>0</v>
      </c>
      <c r="M443" s="27">
        <f>PK!L62</f>
        <v>0</v>
      </c>
      <c r="N443" s="27">
        <f>PK!M62</f>
        <v>0</v>
      </c>
      <c r="O443" s="27">
        <f>PK!N62</f>
        <v>0</v>
      </c>
      <c r="P443" s="27">
        <f>PK!O62</f>
        <v>0</v>
      </c>
      <c r="Q443" s="27">
        <f>PK!P62</f>
        <v>0</v>
      </c>
      <c r="R443" s="27">
        <f>PK!Q62</f>
        <v>0</v>
      </c>
      <c r="S443" s="27">
        <f>PK!R62</f>
        <v>0</v>
      </c>
      <c r="T443" s="27">
        <f>PK!S62</f>
        <v>0</v>
      </c>
      <c r="U443" s="27">
        <f>PK!T62</f>
        <v>0</v>
      </c>
      <c r="V443" s="27">
        <f>PK!U62</f>
        <v>0</v>
      </c>
      <c r="W443" s="27">
        <f>PK!V62</f>
        <v>0</v>
      </c>
      <c r="X443" s="27">
        <f>PK!W62</f>
        <v>0</v>
      </c>
      <c r="Y443" s="27">
        <f>PK!X62</f>
        <v>0</v>
      </c>
      <c r="Z443" s="27">
        <f>PK!Y62</f>
        <v>0</v>
      </c>
      <c r="AA443" s="27">
        <f>PK!Z62</f>
        <v>0</v>
      </c>
    </row>
    <row r="444" spans="4:27" x14ac:dyDescent="0.2">
      <c r="D444" s="4" t="s">
        <v>795</v>
      </c>
      <c r="E444" s="4">
        <v>6</v>
      </c>
      <c r="F444" s="4">
        <f>PK!G64</f>
        <v>52</v>
      </c>
      <c r="G444" s="4" t="str">
        <f>IF(PK!H64&lt;&gt;"",PK!H64,"")</f>
        <v/>
      </c>
      <c r="H444" s="26">
        <f t="shared" si="24"/>
        <v>0</v>
      </c>
      <c r="I444" s="27">
        <f t="shared" si="25"/>
        <v>0</v>
      </c>
      <c r="J444" s="27">
        <f>PK!I64</f>
        <v>0</v>
      </c>
      <c r="K444" s="27">
        <f>PK!J64</f>
        <v>0</v>
      </c>
      <c r="L444" s="27">
        <f>PK!K64</f>
        <v>0</v>
      </c>
      <c r="M444" s="27">
        <f>PK!L64</f>
        <v>0</v>
      </c>
      <c r="N444" s="27">
        <f>PK!M64</f>
        <v>0</v>
      </c>
      <c r="O444" s="27">
        <f>PK!N64</f>
        <v>0</v>
      </c>
      <c r="P444" s="27">
        <f>PK!O64</f>
        <v>0</v>
      </c>
      <c r="Q444" s="27">
        <f>PK!P64</f>
        <v>0</v>
      </c>
      <c r="R444" s="27">
        <f>PK!Q64</f>
        <v>0</v>
      </c>
      <c r="S444" s="27">
        <f>PK!R64</f>
        <v>0</v>
      </c>
      <c r="T444" s="27">
        <f>PK!S64</f>
        <v>0</v>
      </c>
      <c r="U444" s="27">
        <f>PK!T64</f>
        <v>0</v>
      </c>
      <c r="V444" s="27">
        <f>PK!U64</f>
        <v>0</v>
      </c>
      <c r="W444" s="27">
        <f>PK!V64</f>
        <v>0</v>
      </c>
      <c r="X444" s="27">
        <f>PK!W64</f>
        <v>0</v>
      </c>
      <c r="Y444" s="27">
        <f>PK!X64</f>
        <v>0</v>
      </c>
      <c r="Z444" s="27">
        <f>PK!Y64</f>
        <v>0</v>
      </c>
      <c r="AA444" s="27">
        <f>PK!Z64</f>
        <v>0</v>
      </c>
    </row>
    <row r="445" spans="4:27" x14ac:dyDescent="0.2">
      <c r="D445" s="4" t="s">
        <v>795</v>
      </c>
      <c r="E445" s="4">
        <v>6</v>
      </c>
      <c r="F445" s="4">
        <f>PK!G65</f>
        <v>53</v>
      </c>
      <c r="G445" s="4" t="str">
        <f>IF(PK!H65&lt;&gt;"",PK!H65,"")</f>
        <v/>
      </c>
      <c r="H445" s="26">
        <f t="shared" si="24"/>
        <v>0</v>
      </c>
      <c r="I445" s="27">
        <f t="shared" si="25"/>
        <v>0</v>
      </c>
      <c r="J445" s="27">
        <f>PK!I65</f>
        <v>0</v>
      </c>
      <c r="K445" s="27">
        <f>PK!J65</f>
        <v>0</v>
      </c>
      <c r="L445" s="27">
        <f>PK!K65</f>
        <v>0</v>
      </c>
      <c r="M445" s="27">
        <f>PK!L65</f>
        <v>0</v>
      </c>
      <c r="N445" s="27">
        <f>PK!M65</f>
        <v>0</v>
      </c>
      <c r="O445" s="27">
        <f>PK!N65</f>
        <v>0</v>
      </c>
      <c r="P445" s="27">
        <f>PK!O65</f>
        <v>0</v>
      </c>
      <c r="Q445" s="27">
        <f>PK!P65</f>
        <v>0</v>
      </c>
      <c r="R445" s="27">
        <f>PK!Q65</f>
        <v>0</v>
      </c>
      <c r="S445" s="27">
        <f>PK!R65</f>
        <v>0</v>
      </c>
      <c r="T445" s="27">
        <f>PK!S65</f>
        <v>0</v>
      </c>
      <c r="U445" s="27">
        <f>PK!T65</f>
        <v>0</v>
      </c>
      <c r="V445" s="27">
        <f>PK!U65</f>
        <v>0</v>
      </c>
      <c r="W445" s="27">
        <f>PK!V65</f>
        <v>0</v>
      </c>
      <c r="X445" s="27">
        <f>PK!W65</f>
        <v>0</v>
      </c>
      <c r="Y445" s="27">
        <f>PK!X65</f>
        <v>0</v>
      </c>
      <c r="Z445" s="27">
        <f>PK!Y65</f>
        <v>0</v>
      </c>
      <c r="AA445" s="27">
        <f>PK!Z65</f>
        <v>0</v>
      </c>
    </row>
    <row r="446" spans="4:27" x14ac:dyDescent="0.2">
      <c r="D446" s="4" t="s">
        <v>795</v>
      </c>
      <c r="E446" s="4">
        <v>6</v>
      </c>
      <c r="F446" s="4">
        <f>PK!G66</f>
        <v>54</v>
      </c>
      <c r="G446" s="4" t="str">
        <f>IF(PK!H66&lt;&gt;"",PK!H66,"")</f>
        <v/>
      </c>
      <c r="H446" s="26">
        <f t="shared" si="24"/>
        <v>0</v>
      </c>
      <c r="I446" s="27">
        <f t="shared" si="25"/>
        <v>0</v>
      </c>
      <c r="J446" s="27">
        <f>PK!I66</f>
        <v>0</v>
      </c>
      <c r="K446" s="27">
        <f>PK!J66</f>
        <v>0</v>
      </c>
      <c r="L446" s="27">
        <f>PK!K66</f>
        <v>0</v>
      </c>
      <c r="M446" s="27">
        <f>PK!L66</f>
        <v>0</v>
      </c>
      <c r="N446" s="27">
        <f>PK!M66</f>
        <v>0</v>
      </c>
      <c r="O446" s="27">
        <f>PK!N66</f>
        <v>0</v>
      </c>
      <c r="P446" s="27">
        <f>PK!O66</f>
        <v>0</v>
      </c>
      <c r="Q446" s="27">
        <f>PK!P66</f>
        <v>0</v>
      </c>
      <c r="R446" s="27">
        <f>PK!Q66</f>
        <v>0</v>
      </c>
      <c r="S446" s="27">
        <f>PK!R66</f>
        <v>0</v>
      </c>
      <c r="T446" s="27">
        <f>PK!S66</f>
        <v>0</v>
      </c>
      <c r="U446" s="27">
        <f>PK!T66</f>
        <v>0</v>
      </c>
      <c r="V446" s="27">
        <f>PK!U66</f>
        <v>0</v>
      </c>
      <c r="W446" s="27">
        <f>PK!V66</f>
        <v>0</v>
      </c>
      <c r="X446" s="27">
        <f>PK!W66</f>
        <v>0</v>
      </c>
      <c r="Y446" s="27">
        <f>PK!X66</f>
        <v>0</v>
      </c>
      <c r="Z446" s="27">
        <f>PK!Y66</f>
        <v>0</v>
      </c>
      <c r="AA446" s="27">
        <f>PK!Z66</f>
        <v>0</v>
      </c>
    </row>
  </sheetData>
  <sheetProtection password="C79A" sheet="1" objects="1" scenarios="1"/>
  <phoneticPr fontId="3" type="noConversion"/>
  <conditionalFormatting sqref="F2:G392">
    <cfRule type="cellIs" dxfId="33" priority="1" stopIfTrue="1" operator="equal">
      <formula>0</formula>
    </cfRule>
  </conditionalFormatting>
  <pageMargins left="0.75" right="0.75" top="1" bottom="1" header="0.5" footer="0.5"/>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BI123"/>
  <sheetViews>
    <sheetView showGridLines="0" showRowColHeaders="0" topLeftCell="A2" workbookViewId="0">
      <pane ySplit="9" topLeftCell="A110" activePane="bottomLeft" state="frozen"/>
      <selection activeCell="A2" sqref="A2"/>
      <selection pane="bottomLeft" activeCell="C2" sqref="C2"/>
    </sheetView>
  </sheetViews>
  <sheetFormatPr defaultColWidth="0" defaultRowHeight="11.25" zeroHeight="1" x14ac:dyDescent="0.2"/>
  <cols>
    <col min="1" max="1" width="6.7109375" style="189" customWidth="1"/>
    <col min="2" max="2" width="8.7109375" style="189" customWidth="1"/>
    <col min="3" max="5" width="10.7109375" style="189" customWidth="1"/>
    <col min="6" max="8" width="11.7109375" style="189" customWidth="1"/>
    <col min="9" max="9" width="15.7109375" style="189" customWidth="1"/>
    <col min="10" max="10" width="7.7109375" style="189" customWidth="1"/>
    <col min="11" max="11" width="0.85546875" style="189" customWidth="1"/>
    <col min="12" max="16384" width="9.140625" style="193" hidden="1"/>
  </cols>
  <sheetData>
    <row r="1" spans="1:27" hidden="1" x14ac:dyDescent="0.2">
      <c r="O1" s="198" t="s">
        <v>2258</v>
      </c>
      <c r="P1" s="198" t="s">
        <v>2259</v>
      </c>
      <c r="Q1" s="198" t="s">
        <v>2260</v>
      </c>
      <c r="R1" s="198" t="s">
        <v>912</v>
      </c>
      <c r="S1" s="198" t="s">
        <v>2262</v>
      </c>
      <c r="T1" s="198" t="s">
        <v>912</v>
      </c>
      <c r="U1" s="198" t="s">
        <v>2262</v>
      </c>
      <c r="V1" s="198" t="s">
        <v>912</v>
      </c>
      <c r="W1" s="198" t="s">
        <v>2262</v>
      </c>
      <c r="X1" s="198" t="s">
        <v>912</v>
      </c>
      <c r="Y1" s="198" t="s">
        <v>2262</v>
      </c>
      <c r="Z1" s="198" t="s">
        <v>912</v>
      </c>
      <c r="AA1" s="198" t="s">
        <v>2262</v>
      </c>
    </row>
    <row r="2" spans="1:27" ht="15.95" customHeight="1" x14ac:dyDescent="0.2">
      <c r="A2" s="139" t="s">
        <v>57</v>
      </c>
      <c r="B2" s="63" t="s">
        <v>56</v>
      </c>
      <c r="C2" s="63" t="s">
        <v>59</v>
      </c>
      <c r="D2" s="63" t="s">
        <v>2328</v>
      </c>
      <c r="E2" s="63" t="s">
        <v>794</v>
      </c>
      <c r="F2" s="63" t="s">
        <v>2824</v>
      </c>
      <c r="G2" s="63" t="s">
        <v>2748</v>
      </c>
      <c r="H2" s="63" t="s">
        <v>2749</v>
      </c>
      <c r="I2" s="63" t="s">
        <v>795</v>
      </c>
      <c r="J2" s="64" t="s">
        <v>58</v>
      </c>
      <c r="L2" s="141" t="s">
        <v>212</v>
      </c>
      <c r="M2" s="141" t="s">
        <v>213</v>
      </c>
      <c r="N2" s="203" t="s">
        <v>554</v>
      </c>
      <c r="O2" s="204">
        <f>Bilanca!Q1</f>
        <v>1</v>
      </c>
      <c r="P2" s="205">
        <f>Bilanca!Q2</f>
        <v>1</v>
      </c>
      <c r="Q2" s="223">
        <f>Bilanca!Q3</f>
        <v>1</v>
      </c>
      <c r="R2" s="204" t="s">
        <v>886</v>
      </c>
      <c r="S2" s="223">
        <f>IF(RefStr!C17&lt;&gt;"",IF(ISERROR(INT(RefStr!C17)),0,RefStr!C17),0)</f>
        <v>10</v>
      </c>
      <c r="T2" s="204" t="s">
        <v>2261</v>
      </c>
      <c r="U2" s="223" t="str">
        <f>RefStr!I21</f>
        <v>NE</v>
      </c>
      <c r="V2" s="204" t="s">
        <v>1562</v>
      </c>
      <c r="W2" s="223" t="str">
        <f>RefStr!C29</f>
        <v>POSLOVNI SUSTAVI d.o.o. RIJEKA</v>
      </c>
      <c r="X2" s="204" t="s">
        <v>1769</v>
      </c>
      <c r="Y2" s="223">
        <f>IF(RefStr!C54&lt;&gt;"",RefStr!C54,"")</f>
        <v>100</v>
      </c>
      <c r="Z2" s="204" t="s">
        <v>441</v>
      </c>
      <c r="AA2" s="223" t="str">
        <f>IF(RefStr!B64="","",RefStr!B64)</f>
        <v/>
      </c>
    </row>
    <row r="3" spans="1:27" ht="14.1" customHeight="1" x14ac:dyDescent="0.2">
      <c r="A3" s="503" t="s">
        <v>672</v>
      </c>
      <c r="B3" s="504"/>
      <c r="C3" s="504"/>
      <c r="D3" s="504"/>
      <c r="E3" s="504"/>
      <c r="F3" s="504"/>
      <c r="G3" s="504"/>
      <c r="H3" s="504"/>
      <c r="I3" s="511"/>
      <c r="J3" s="512"/>
      <c r="L3" s="141"/>
      <c r="M3" s="141"/>
      <c r="N3" s="203" t="s">
        <v>794</v>
      </c>
      <c r="O3" s="206">
        <f>RDG!Q1</f>
        <v>1</v>
      </c>
      <c r="P3" s="207">
        <f>RDG!Q2</f>
        <v>1</v>
      </c>
      <c r="Q3" s="224">
        <f>RDG!Q3</f>
        <v>1</v>
      </c>
      <c r="R3" s="206" t="s">
        <v>894</v>
      </c>
      <c r="S3" s="224">
        <f>IF(RefStr!C50&lt;&gt;"",IF(ISERROR(INT(RefStr!C50)),0,RefStr!C50),0)</f>
        <v>2</v>
      </c>
      <c r="T3" s="206" t="s">
        <v>614</v>
      </c>
      <c r="U3" s="224">
        <f>RefStr!L21</f>
        <v>0</v>
      </c>
      <c r="V3" s="206" t="s">
        <v>2736</v>
      </c>
      <c r="W3" s="224">
        <f>RefStr!C31</f>
        <v>51000</v>
      </c>
      <c r="X3" s="206" t="s">
        <v>1770</v>
      </c>
      <c r="Y3" s="224">
        <f>IF(RefStr!F54&lt;&gt;"",RefStr!F54,"")</f>
        <v>0</v>
      </c>
      <c r="Z3" s="206" t="s">
        <v>442</v>
      </c>
      <c r="AA3" s="224" t="str">
        <f>IF(RefStr!B66="","",RefStr!B66)</f>
        <v/>
      </c>
    </row>
    <row r="4" spans="1:27" ht="14.1" customHeight="1" x14ac:dyDescent="0.2">
      <c r="A4" s="505"/>
      <c r="B4" s="506"/>
      <c r="C4" s="506"/>
      <c r="D4" s="506"/>
      <c r="E4" s="506"/>
      <c r="F4" s="506"/>
      <c r="G4" s="506"/>
      <c r="H4" s="506"/>
      <c r="I4" s="214" t="s">
        <v>210</v>
      </c>
      <c r="J4" s="215">
        <f ca="1">SUM(L12:L122)</f>
        <v>0</v>
      </c>
      <c r="L4" s="3"/>
      <c r="M4" s="3"/>
      <c r="N4" s="203" t="s">
        <v>555</v>
      </c>
      <c r="O4" s="206">
        <f>Dodatni!Q1</f>
        <v>0</v>
      </c>
      <c r="P4" s="207">
        <f>Dodatni!Q2</f>
        <v>0</v>
      </c>
      <c r="Q4" s="224">
        <f>Dodatni!Q3</f>
        <v>0</v>
      </c>
      <c r="R4" s="206" t="s">
        <v>2890</v>
      </c>
      <c r="S4" s="224">
        <f>IF(RefStr!C52&lt;&gt;"",IF(ISERROR(INT(RefStr!C52)),0,RefStr!C52),0)</f>
        <v>11</v>
      </c>
      <c r="T4" s="206" t="s">
        <v>1316</v>
      </c>
      <c r="U4" s="224" t="str">
        <f>RefStr!C27</f>
        <v>50327992893</v>
      </c>
      <c r="V4" s="206" t="s">
        <v>2737</v>
      </c>
      <c r="W4" s="224" t="str">
        <f>RefStr!F31</f>
        <v>RIJEKA</v>
      </c>
      <c r="X4" s="226" t="s">
        <v>1783</v>
      </c>
      <c r="Y4" s="227" t="str">
        <f>RefStr!I68</f>
        <v>DA</v>
      </c>
      <c r="Z4" s="206" t="s">
        <v>2970</v>
      </c>
      <c r="AA4" s="224" t="str">
        <f>RefStr!N19</f>
        <v>HSFI</v>
      </c>
    </row>
    <row r="5" spans="1:27" ht="14.1" customHeight="1" x14ac:dyDescent="0.2">
      <c r="A5" s="505"/>
      <c r="B5" s="506"/>
      <c r="C5" s="506"/>
      <c r="D5" s="506"/>
      <c r="E5" s="506"/>
      <c r="F5" s="506"/>
      <c r="G5" s="506"/>
      <c r="H5" s="506"/>
      <c r="I5" s="513"/>
      <c r="J5" s="514"/>
      <c r="L5" s="3"/>
      <c r="M5" s="3"/>
      <c r="N5" s="203" t="s">
        <v>556</v>
      </c>
      <c r="O5" s="206">
        <f>NT_I!Q1</f>
        <v>0</v>
      </c>
      <c r="P5" s="207">
        <f>NT_I!Q2</f>
        <v>0</v>
      </c>
      <c r="Q5" s="224">
        <f>NT_I!Q3</f>
        <v>0</v>
      </c>
      <c r="R5" s="206" t="s">
        <v>2888</v>
      </c>
      <c r="S5" s="224">
        <f>IF(RefStr!C19&lt;&gt;"",IF(ISERROR(INT(RefStr!C19)),0,RefStr!C19),0)</f>
        <v>2</v>
      </c>
      <c r="T5" s="206" t="s">
        <v>1560</v>
      </c>
      <c r="U5" s="224" t="str">
        <f>RefStr!H27</f>
        <v>04314247</v>
      </c>
      <c r="V5" s="206" t="s">
        <v>2738</v>
      </c>
      <c r="W5" s="224" t="str">
        <f>RefStr!C33</f>
        <v>Školjić 15</v>
      </c>
      <c r="X5" s="226" t="s">
        <v>2929</v>
      </c>
      <c r="Y5" s="227" t="str">
        <f>RefStr!I62</f>
        <v>NE</v>
      </c>
      <c r="Z5" s="206" t="s">
        <v>927</v>
      </c>
      <c r="AA5" s="224">
        <f>RefStr!M46</f>
        <v>0</v>
      </c>
    </row>
    <row r="6" spans="1:27" ht="14.1" customHeight="1" x14ac:dyDescent="0.2">
      <c r="A6" s="505"/>
      <c r="B6" s="506"/>
      <c r="C6" s="506"/>
      <c r="D6" s="506"/>
      <c r="E6" s="506"/>
      <c r="F6" s="506"/>
      <c r="G6" s="506"/>
      <c r="H6" s="506"/>
      <c r="I6" s="513"/>
      <c r="J6" s="514"/>
      <c r="L6" s="3"/>
      <c r="M6" s="3"/>
      <c r="N6" s="203" t="s">
        <v>557</v>
      </c>
      <c r="O6" s="206">
        <f>NT_D!Q1</f>
        <v>0</v>
      </c>
      <c r="P6" s="207">
        <f>NT_D!Q2</f>
        <v>0</v>
      </c>
      <c r="Q6" s="224">
        <f>NT_D!Q3</f>
        <v>0</v>
      </c>
      <c r="R6" s="206" t="s">
        <v>2886</v>
      </c>
      <c r="S6" s="224" t="str">
        <f>RefStr!C21</f>
        <v>NE</v>
      </c>
      <c r="T6" s="206" t="s">
        <v>1561</v>
      </c>
      <c r="U6" s="224" t="str">
        <f>RefStr!M27</f>
        <v>040338231</v>
      </c>
      <c r="V6" s="206" t="s">
        <v>2968</v>
      </c>
      <c r="W6" s="224" t="str">
        <f>RefStr!L35</f>
        <v>051/564-446</v>
      </c>
      <c r="X6" s="206" t="s">
        <v>2926</v>
      </c>
      <c r="Y6" s="224" t="str">
        <f>RefStr!C68</f>
        <v>ASJA FUĆAK</v>
      </c>
      <c r="Z6" s="206" t="s">
        <v>2952</v>
      </c>
      <c r="AA6" s="224">
        <f>RefStr!C46</f>
        <v>0</v>
      </c>
    </row>
    <row r="7" spans="1:27" ht="14.1" customHeight="1" x14ac:dyDescent="0.2">
      <c r="A7" s="505"/>
      <c r="B7" s="506"/>
      <c r="C7" s="506"/>
      <c r="D7" s="506"/>
      <c r="E7" s="506"/>
      <c r="F7" s="506"/>
      <c r="G7" s="506"/>
      <c r="H7" s="506"/>
      <c r="I7" s="214" t="s">
        <v>211</v>
      </c>
      <c r="J7" s="216">
        <f>SUM(M12:M122)</f>
        <v>0</v>
      </c>
      <c r="N7" s="203" t="s">
        <v>795</v>
      </c>
      <c r="O7" s="206">
        <f>PK!AC1</f>
        <v>0</v>
      </c>
      <c r="P7" s="207">
        <f>PK!AC2</f>
        <v>0</v>
      </c>
      <c r="Q7" s="224">
        <f>PK!AC3</f>
        <v>0</v>
      </c>
      <c r="R7" s="206" t="s">
        <v>2969</v>
      </c>
      <c r="S7" s="224">
        <f>IF(RefStr!C44&lt;&gt;"",IF(ISERROR(INT(RefStr!C44)),0,RefStr!C44),0)</f>
        <v>1</v>
      </c>
      <c r="T7" s="206" t="s">
        <v>916</v>
      </c>
      <c r="U7" s="224">
        <f>RefStr!C7</f>
        <v>5</v>
      </c>
      <c r="V7" s="206" t="s">
        <v>2884</v>
      </c>
      <c r="W7" s="224" t="str">
        <f>TRIM(UPPER(RefStr!C35))</f>
        <v>UPRAVA@POSLOVNI-SUSTAVI.HR</v>
      </c>
      <c r="X7" s="206" t="s">
        <v>2927</v>
      </c>
      <c r="Y7" s="224" t="str">
        <f>RefStr!C70</f>
        <v>+38551564528</v>
      </c>
      <c r="Z7" s="206" t="s">
        <v>2953</v>
      </c>
      <c r="AA7" s="224" t="str">
        <f>RefStr!D46</f>
        <v/>
      </c>
    </row>
    <row r="8" spans="1:27" ht="14.1" customHeight="1" x14ac:dyDescent="0.2">
      <c r="A8" s="507"/>
      <c r="B8" s="508"/>
      <c r="C8" s="508"/>
      <c r="D8" s="508"/>
      <c r="E8" s="508"/>
      <c r="F8" s="508"/>
      <c r="G8" s="508"/>
      <c r="H8" s="508"/>
      <c r="I8" s="509"/>
      <c r="J8" s="510"/>
      <c r="L8" s="190"/>
      <c r="M8" s="190"/>
      <c r="N8" s="222" t="s">
        <v>1465</v>
      </c>
      <c r="O8" s="208" t="str">
        <f>IF(RefStr!N6="NE","DA",IF(RefStr!N6="DA","NE",RefStr!N6))</f>
        <v>NE</v>
      </c>
      <c r="P8" s="209">
        <f>RefStr!C60</f>
        <v>12</v>
      </c>
      <c r="Q8" s="225">
        <f>RefStr!F60</f>
        <v>12</v>
      </c>
      <c r="R8" s="206" t="s">
        <v>913</v>
      </c>
      <c r="S8" s="224">
        <f>IF(RefStr!C4&lt;&gt;"",RefStr!C4,0)</f>
        <v>44197</v>
      </c>
      <c r="T8" s="206" t="s">
        <v>915</v>
      </c>
      <c r="U8" s="224" t="str">
        <f>RefStr!D7</f>
        <v>Društvo s ograničenom odgovornošću</v>
      </c>
      <c r="V8" s="206" t="s">
        <v>2974</v>
      </c>
      <c r="W8" s="224" t="str">
        <f>RefStr!C42</f>
        <v>6920</v>
      </c>
      <c r="X8" s="206" t="s">
        <v>2928</v>
      </c>
      <c r="Y8" s="224" t="str">
        <f>TRIM(UPPER(RefStr!C72))</f>
        <v>ASJA.FUCAK@POSLOVNI-SUSTAVI.HR</v>
      </c>
      <c r="Z8" s="228" t="s">
        <v>1780</v>
      </c>
      <c r="AA8" s="229" t="str">
        <f>RefStr!I56</f>
        <v>DA</v>
      </c>
    </row>
    <row r="9" spans="1:27" ht="14.1" customHeight="1" x14ac:dyDescent="0.2">
      <c r="A9" s="515" t="s">
        <v>819</v>
      </c>
      <c r="B9" s="515"/>
      <c r="C9" s="515" t="s">
        <v>963</v>
      </c>
      <c r="D9" s="515"/>
      <c r="E9" s="515"/>
      <c r="F9" s="515"/>
      <c r="G9" s="515"/>
      <c r="H9" s="515"/>
      <c r="I9" s="515"/>
      <c r="J9" s="515"/>
      <c r="L9" s="190"/>
      <c r="M9" s="190"/>
      <c r="O9" s="222" t="s">
        <v>1464</v>
      </c>
      <c r="P9" s="204">
        <f>RefStr!C58</f>
        <v>94</v>
      </c>
      <c r="Q9" s="223">
        <f>RefStr!F58</f>
        <v>74</v>
      </c>
      <c r="R9" s="206" t="s">
        <v>914</v>
      </c>
      <c r="S9" s="224">
        <f>IF(RefStr!F4&lt;&gt;"",RefStr!F4,0)</f>
        <v>44561</v>
      </c>
      <c r="T9" s="206" t="s">
        <v>891</v>
      </c>
      <c r="U9" s="224">
        <f>RefStr!C39</f>
        <v>373</v>
      </c>
      <c r="V9" s="206" t="s">
        <v>2951</v>
      </c>
      <c r="W9" s="224" t="str">
        <f>RefStr!D42</f>
        <v>Računovodstvene, knjigovodstvene i rev...</v>
      </c>
      <c r="X9" s="230" t="s">
        <v>1782</v>
      </c>
      <c r="Y9" s="231" t="str">
        <f>RefStr!I66</f>
        <v>DA</v>
      </c>
      <c r="Z9" s="228" t="s">
        <v>1781</v>
      </c>
      <c r="AA9" s="229" t="str">
        <f>RefStr!I64</f>
        <v>NE</v>
      </c>
    </row>
    <row r="10" spans="1:27" ht="14.1" customHeight="1" x14ac:dyDescent="0.2">
      <c r="A10" s="516"/>
      <c r="B10" s="516"/>
      <c r="C10" s="516"/>
      <c r="D10" s="516"/>
      <c r="E10" s="516"/>
      <c r="F10" s="516"/>
      <c r="G10" s="516"/>
      <c r="H10" s="516"/>
      <c r="I10" s="516"/>
      <c r="J10" s="516"/>
      <c r="L10" s="190"/>
      <c r="M10" s="190"/>
      <c r="O10" s="222" t="s">
        <v>1998</v>
      </c>
      <c r="P10" s="208">
        <f>RefStr!C56</f>
        <v>97</v>
      </c>
      <c r="Q10" s="225">
        <f>RefStr!F56</f>
        <v>81</v>
      </c>
      <c r="R10" s="208" t="s">
        <v>917</v>
      </c>
      <c r="S10" s="225">
        <f>RefStr!C23</f>
        <v>1</v>
      </c>
      <c r="T10" s="208" t="s">
        <v>2973</v>
      </c>
      <c r="U10" s="225" t="str">
        <f>RefStr!D39</f>
        <v>Rijeka</v>
      </c>
      <c r="V10" s="232"/>
      <c r="W10" s="233"/>
      <c r="X10" s="234" t="s">
        <v>2279</v>
      </c>
      <c r="Y10" s="235">
        <f>RefStr!F12</f>
        <v>2021</v>
      </c>
      <c r="Z10" s="208" t="s">
        <v>1771</v>
      </c>
      <c r="AA10" s="225" t="str">
        <f>RefStr!A75</f>
        <v>LUČIĆ SILVIJA</v>
      </c>
    </row>
    <row r="11" spans="1:27" ht="14.1" customHeight="1" x14ac:dyDescent="0.2">
      <c r="A11" s="517" t="s">
        <v>1492</v>
      </c>
      <c r="B11" s="518"/>
      <c r="C11" s="518"/>
      <c r="D11" s="518"/>
      <c r="E11" s="518"/>
      <c r="F11" s="518"/>
      <c r="G11" s="518"/>
      <c r="H11" s="518"/>
      <c r="I11" s="518"/>
      <c r="J11" s="519"/>
      <c r="L11" s="190"/>
      <c r="M11" s="190"/>
      <c r="N11" s="203"/>
      <c r="O11" s="210"/>
      <c r="P11" s="210"/>
      <c r="Q11" s="210"/>
      <c r="X11" s="3"/>
      <c r="Y11" s="3"/>
    </row>
    <row r="12" spans="1:27" ht="20.100000000000001" customHeight="1" x14ac:dyDescent="0.2">
      <c r="A12" s="241">
        <v>1</v>
      </c>
      <c r="B12" s="237" t="str">
        <f t="shared" ref="B12:B42" si="0">IF(L12=1,"Pogreška", IF(M12=1, "Provjera","OK"))</f>
        <v>OK</v>
      </c>
      <c r="C12" s="495" t="s">
        <v>1466</v>
      </c>
      <c r="D12" s="495"/>
      <c r="E12" s="495"/>
      <c r="F12" s="495"/>
      <c r="G12" s="495"/>
      <c r="H12" s="495"/>
      <c r="I12" s="495"/>
      <c r="J12" s="495"/>
      <c r="L12" s="190">
        <f t="shared" ref="L12:L20" si="1">MAX(N12:R12)</f>
        <v>0</v>
      </c>
      <c r="M12" s="190"/>
      <c r="N12" s="193">
        <f>IF(OR(S8=0,S9=0,S8&gt;=S9),1,0)</f>
        <v>0</v>
      </c>
      <c r="O12" s="193">
        <f>IF(AND(S9-S8&gt;366,OR(S2&lt;&gt;30,S5=1)),1,0)</f>
        <v>0</v>
      </c>
    </row>
    <row r="13" spans="1:27" ht="26.25" customHeight="1" x14ac:dyDescent="0.2">
      <c r="A13" s="242">
        <f>A12+1</f>
        <v>2</v>
      </c>
      <c r="B13" s="238" t="str">
        <f t="shared" si="0"/>
        <v>OK</v>
      </c>
      <c r="C13" s="491" t="s">
        <v>2971</v>
      </c>
      <c r="D13" s="491"/>
      <c r="E13" s="491"/>
      <c r="F13" s="491"/>
      <c r="G13" s="491"/>
      <c r="H13" s="491"/>
      <c r="I13" s="491"/>
      <c r="J13" s="491"/>
      <c r="L13" s="190">
        <f t="shared" si="1"/>
        <v>0</v>
      </c>
      <c r="M13" s="190"/>
      <c r="N13" s="193">
        <f>IF(OR(U7="",U7=0,AND(O8&lt;&gt;"DA",O8&lt;&gt;"NE"),AND(AA4&lt;&gt;"HSFI",AA4&lt;&gt;"MSFI"),U8="",U8=0,W2="Upisana je nepostojeća ili neprepoznatljiva vrsta poslovnog subjekta"),1,0)</f>
        <v>0</v>
      </c>
    </row>
    <row r="14" spans="1:27" ht="20.100000000000001" customHeight="1" x14ac:dyDescent="0.2">
      <c r="A14" s="242">
        <f t="shared" ref="A14:A42" si="2">A13+1</f>
        <v>3</v>
      </c>
      <c r="B14" s="238" t="str">
        <f t="shared" si="0"/>
        <v>OK</v>
      </c>
      <c r="C14" s="491" t="s">
        <v>1491</v>
      </c>
      <c r="D14" s="491"/>
      <c r="E14" s="491"/>
      <c r="F14" s="491"/>
      <c r="G14" s="491"/>
      <c r="H14" s="491"/>
      <c r="I14" s="491"/>
      <c r="J14" s="491"/>
      <c r="L14" s="190">
        <f t="shared" si="1"/>
        <v>0</v>
      </c>
      <c r="M14" s="190"/>
      <c r="N14" s="190">
        <f>IF(AND(S2&lt;&gt;10,S2&lt;&gt;11,S2&lt;&gt;20,S2&lt;&gt;21,S2&lt;&gt;30,S2&lt;&gt;31,S2&lt;&gt;40,S2&lt;&gt;50),1,0)</f>
        <v>0</v>
      </c>
      <c r="O14" s="190"/>
    </row>
    <row r="15" spans="1:27" ht="38.25" customHeight="1" x14ac:dyDescent="0.2">
      <c r="A15" s="242">
        <f t="shared" si="2"/>
        <v>4</v>
      </c>
      <c r="B15" s="238" t="str">
        <f>IF(L15=1,"Pogreška", IF(M15=1, "Provjera","OK"))</f>
        <v>OK</v>
      </c>
      <c r="C15" s="491" t="s">
        <v>697</v>
      </c>
      <c r="D15" s="491"/>
      <c r="E15" s="491"/>
      <c r="F15" s="491"/>
      <c r="G15" s="491"/>
      <c r="H15" s="491"/>
      <c r="I15" s="491"/>
      <c r="J15" s="491"/>
      <c r="L15" s="190">
        <f t="shared" si="1"/>
        <v>0</v>
      </c>
      <c r="M15" s="190"/>
      <c r="N15" s="190">
        <f>IF(AND(S6&lt;&gt;"DA",S6&lt;&gt;"NE"),1,0)</f>
        <v>0</v>
      </c>
      <c r="O15" s="190">
        <f>IF(AND(S6="DA",S5&lt;&gt;2),1,0)</f>
        <v>0</v>
      </c>
    </row>
    <row r="16" spans="1:27" ht="27" customHeight="1" x14ac:dyDescent="0.2">
      <c r="A16" s="242">
        <f>A15+1</f>
        <v>5</v>
      </c>
      <c r="B16" s="238" t="str">
        <f>IF(L16=1,"Pogreška", IF(M16=1, "Provjera","OK"))</f>
        <v>OK</v>
      </c>
      <c r="C16" s="491" t="s">
        <v>108</v>
      </c>
      <c r="D16" s="491"/>
      <c r="E16" s="491"/>
      <c r="F16" s="491"/>
      <c r="G16" s="491"/>
      <c r="H16" s="491"/>
      <c r="I16" s="491"/>
      <c r="J16" s="491"/>
      <c r="L16" s="190">
        <f t="shared" si="1"/>
        <v>0</v>
      </c>
      <c r="M16" s="190"/>
      <c r="N16" s="190">
        <f>IF(AND(S5&lt;&gt;1,S5&lt;&gt;2,S5&lt;&gt;3),1,0)</f>
        <v>0</v>
      </c>
      <c r="O16" s="190">
        <f>IF(AND(S5&gt;1,U7&gt;7,U7&lt;&gt;12),1,0)</f>
        <v>0</v>
      </c>
    </row>
    <row r="17" spans="1:60" ht="97.5" customHeight="1" x14ac:dyDescent="0.2">
      <c r="A17" s="242">
        <f>A16+1</f>
        <v>6</v>
      </c>
      <c r="B17" s="238" t="str">
        <f>IF(L17=1,"Pogreška", IF(M17=1, "Provjera","OK"))</f>
        <v>OK</v>
      </c>
      <c r="C17" s="491" t="s">
        <v>2056</v>
      </c>
      <c r="D17" s="491"/>
      <c r="E17" s="491"/>
      <c r="F17" s="491"/>
      <c r="G17" s="491"/>
      <c r="H17" s="491"/>
      <c r="I17" s="491"/>
      <c r="J17" s="491"/>
      <c r="L17" s="190">
        <f>MAX(N17:R17)</f>
        <v>0</v>
      </c>
      <c r="M17" s="190">
        <f>MAX(T17:Y17)</f>
        <v>0</v>
      </c>
      <c r="N17" s="190">
        <f>IF(AND(S2=30,S5=3),1,0)</f>
        <v>0</v>
      </c>
      <c r="O17" s="190">
        <f>IF(AND(S2=30,S5=2,P8&gt;0),1,0)</f>
        <v>0</v>
      </c>
      <c r="T17" s="193">
        <f>IF(AND(S2=30,S5=2,MONTH(S8)=1,DAY(S8)=1),1,0)</f>
        <v>0</v>
      </c>
      <c r="U17" s="193">
        <f>IF(AND(S2=30,S5=2,MONTH(S9)=12,DAY(S9)=31),1,0)</f>
        <v>0</v>
      </c>
    </row>
    <row r="18" spans="1:60" ht="63.75" customHeight="1" x14ac:dyDescent="0.2">
      <c r="A18" s="242">
        <f>A17+1</f>
        <v>7</v>
      </c>
      <c r="B18" s="238" t="str">
        <f>IF(L18=1,"Pogreška", IF(M18=1, "Provjera","OK"))</f>
        <v>OK</v>
      </c>
      <c r="C18" s="491" t="s">
        <v>341</v>
      </c>
      <c r="D18" s="491"/>
      <c r="E18" s="491"/>
      <c r="F18" s="491"/>
      <c r="G18" s="491"/>
      <c r="H18" s="491"/>
      <c r="I18" s="491"/>
      <c r="J18" s="491"/>
      <c r="L18" s="190">
        <f t="shared" si="1"/>
        <v>0</v>
      </c>
      <c r="M18" s="190">
        <f>MAX(T18:Y18)</f>
        <v>0</v>
      </c>
      <c r="N18" s="190">
        <f>IF(AND(S10&lt;&gt;1,U7&lt;&gt;1,U7&lt;&gt;2,U7&lt;&gt;3, U7&lt;&gt;4, U7&lt;&gt; 5, U7&lt;&gt; 6, U7&lt;&gt;7,U7&lt;&gt;12),1,0)</f>
        <v>0</v>
      </c>
      <c r="O18" s="190">
        <f>IF(AND(S10&lt;&gt;1,S3&lt;&gt;4),1,0)</f>
        <v>0</v>
      </c>
      <c r="P18" s="193">
        <f>IF(AND(S10&lt;&gt;1,P10&lt;500),1,0)</f>
        <v>0</v>
      </c>
      <c r="T18" s="193">
        <f>IF(AND(S10=1,P10&gt;500,S3&gt;3,OR(U7=1,U7=2,U7=3, U7=4, U7= 5, U7= 6, U7=7,U7=12)),1,0)</f>
        <v>0</v>
      </c>
    </row>
    <row r="19" spans="1:60" ht="43.5" customHeight="1" x14ac:dyDescent="0.2">
      <c r="A19" s="242">
        <f t="shared" si="2"/>
        <v>8</v>
      </c>
      <c r="B19" s="238" t="str">
        <f t="shared" si="0"/>
        <v>OK</v>
      </c>
      <c r="C19" s="491" t="s">
        <v>2937</v>
      </c>
      <c r="D19" s="491"/>
      <c r="E19" s="491"/>
      <c r="F19" s="491"/>
      <c r="G19" s="491"/>
      <c r="H19" s="491"/>
      <c r="I19" s="491"/>
      <c r="J19" s="491"/>
      <c r="L19" s="190">
        <f t="shared" si="1"/>
        <v>0</v>
      </c>
      <c r="M19" s="190"/>
      <c r="N19" s="190">
        <f>IF(AND(U2&lt;&gt;"DA",U2&lt;&gt;"NE"),1,0)</f>
        <v>0</v>
      </c>
      <c r="O19" s="190">
        <f>IF(AND(U2="NE",AND(U3&lt;&gt;"",U3&lt;&gt;0)),1,0)</f>
        <v>0</v>
      </c>
      <c r="P19" s="193">
        <f>IF(AND(U2="DA",OR(U3="",U3=0)),1,0)</f>
        <v>0</v>
      </c>
      <c r="Q19" s="193">
        <f>IF(AND(S5=1,U2="DA"),1,0)</f>
        <v>0</v>
      </c>
      <c r="R19" s="193">
        <f>IF(U2&lt;&gt;Y5,1,0)</f>
        <v>0</v>
      </c>
    </row>
    <row r="20" spans="1:60" ht="20.100000000000001" customHeight="1" x14ac:dyDescent="0.2">
      <c r="A20" s="242">
        <f>A19+1</f>
        <v>9</v>
      </c>
      <c r="B20" s="238" t="str">
        <f>IF(L20=1,"Pogreška", IF(M20=1, "Provjera","OK"))</f>
        <v>OK</v>
      </c>
      <c r="C20" s="491" t="s">
        <v>307</v>
      </c>
      <c r="D20" s="491"/>
      <c r="E20" s="491"/>
      <c r="F20" s="491"/>
      <c r="G20" s="491"/>
      <c r="H20" s="491"/>
      <c r="I20" s="491"/>
      <c r="J20" s="491"/>
      <c r="L20" s="190">
        <f t="shared" si="1"/>
        <v>0</v>
      </c>
      <c r="M20" s="190"/>
      <c r="N20" s="190">
        <f>IF(ISNUMBER(VALUE(U4)),0,1)</f>
        <v>0</v>
      </c>
      <c r="O20" s="190">
        <f>IF(U4=0,1,0)</f>
        <v>0</v>
      </c>
      <c r="P20" s="193">
        <f>IF(LEN(U4)&gt;11,1,0)</f>
        <v>0</v>
      </c>
    </row>
    <row r="21" spans="1:60" ht="41.25" customHeight="1" x14ac:dyDescent="0.2">
      <c r="A21" s="242">
        <f t="shared" si="2"/>
        <v>10</v>
      </c>
      <c r="B21" s="238" t="str">
        <f t="shared" si="0"/>
        <v>OK</v>
      </c>
      <c r="C21" s="491" t="s">
        <v>1138</v>
      </c>
      <c r="D21" s="491"/>
      <c r="E21" s="491"/>
      <c r="F21" s="491"/>
      <c r="G21" s="491"/>
      <c r="H21" s="491"/>
      <c r="I21" s="491"/>
      <c r="J21" s="491"/>
      <c r="L21" s="190">
        <f>MAX(N21:S21)</f>
        <v>0</v>
      </c>
      <c r="M21" s="190"/>
      <c r="N21" s="190">
        <f>IF(AND(INT(VALUE(U5))&lt;123455,U7&lt;&gt;16),1,0)</f>
        <v>0</v>
      </c>
      <c r="O21" s="190">
        <f>IF(AND(INT(VALUE(U5))&gt;0,U7=16),1,0)</f>
        <v>0</v>
      </c>
      <c r="P21" s="193">
        <f>IF(AND(OR(INT(VALUE(U5))&lt;50000000,INT(VALUE(U5))&gt;59999999),U7=15),1,0)</f>
        <v>0</v>
      </c>
      <c r="Q21" s="193">
        <f>IF(AND(OR(INT(VALUE(U5))&lt;80000000,INT(VALUE(U5))&gt;89999999),U7=14),1,0)</f>
        <v>0</v>
      </c>
      <c r="R21" s="193">
        <f>IF(AND(OR(INT(VALUE(U5))&lt;90000000,INT(VALUE(U5))&gt;99999999),U7=13),1,0)</f>
        <v>0</v>
      </c>
      <c r="S21" s="193">
        <f>IF(AND(U7&lt;&gt;13,U7&lt;&gt;14,U7&lt;&gt;15,U7&lt;&gt;16,U7&lt;&gt;7,INT(VALUE(U5)&gt;10000000)),1,0)</f>
        <v>0</v>
      </c>
    </row>
    <row r="22" spans="1:60" ht="30" customHeight="1" x14ac:dyDescent="0.2">
      <c r="A22" s="242">
        <f t="shared" si="2"/>
        <v>11</v>
      </c>
      <c r="B22" s="238" t="str">
        <f t="shared" si="0"/>
        <v>OK</v>
      </c>
      <c r="C22" s="491" t="s">
        <v>2965</v>
      </c>
      <c r="D22" s="491"/>
      <c r="E22" s="491"/>
      <c r="F22" s="491"/>
      <c r="G22" s="491"/>
      <c r="H22" s="491"/>
      <c r="I22" s="491"/>
      <c r="J22" s="491"/>
      <c r="L22" s="190">
        <f>MAX(N22:R22)</f>
        <v>0</v>
      </c>
      <c r="M22" s="190"/>
      <c r="N22" s="190">
        <f>IF(ISNUMBER(VALUE(U6)),0,1)</f>
        <v>0</v>
      </c>
      <c r="O22" s="190">
        <f>IF(AND(U6=0,U7&lt;13),1,0)</f>
        <v>0</v>
      </c>
      <c r="P22" s="193">
        <f>IF(LEN(U6)&gt;9,1,0)</f>
        <v>0</v>
      </c>
      <c r="Q22" s="193">
        <f>IF(AND(U7&gt;12,U6&gt;0),1,0)</f>
        <v>0</v>
      </c>
    </row>
    <row r="23" spans="1:60" ht="20.100000000000001" customHeight="1" x14ac:dyDescent="0.2">
      <c r="A23" s="242">
        <f t="shared" si="2"/>
        <v>12</v>
      </c>
      <c r="B23" s="238" t="str">
        <f t="shared" si="0"/>
        <v>OK</v>
      </c>
      <c r="C23" s="491" t="s">
        <v>2966</v>
      </c>
      <c r="D23" s="491"/>
      <c r="E23" s="491"/>
      <c r="F23" s="491"/>
      <c r="G23" s="491"/>
      <c r="H23" s="491"/>
      <c r="I23" s="491"/>
      <c r="J23" s="491"/>
      <c r="L23" s="190">
        <f>MAX(N23:R23)</f>
        <v>0</v>
      </c>
      <c r="M23" s="190"/>
      <c r="N23" s="190">
        <f>IF(OR(LEN(W2)&lt;3,W2=0),1,0)</f>
        <v>0</v>
      </c>
      <c r="O23" s="190"/>
    </row>
    <row r="24" spans="1:60" ht="25.5" customHeight="1" x14ac:dyDescent="0.2">
      <c r="A24" s="242">
        <f t="shared" si="2"/>
        <v>13</v>
      </c>
      <c r="B24" s="238" t="str">
        <f t="shared" si="0"/>
        <v>OK</v>
      </c>
      <c r="C24" s="491" t="s">
        <v>2967</v>
      </c>
      <c r="D24" s="491"/>
      <c r="E24" s="491"/>
      <c r="F24" s="491"/>
      <c r="G24" s="491"/>
      <c r="H24" s="491"/>
      <c r="I24" s="491"/>
      <c r="J24" s="491"/>
      <c r="L24" s="190">
        <f>MAX(N24:R24)</f>
        <v>0</v>
      </c>
      <c r="M24" s="190"/>
      <c r="N24" s="190">
        <f>IF(OR(W3=0,W4=0),1,0)</f>
        <v>0</v>
      </c>
      <c r="O24" s="190">
        <f>IF(LEN(W4)&lt;2,1,0)</f>
        <v>0</v>
      </c>
      <c r="P24" s="193">
        <f>IF(OR(W3&lt;10000,W3&gt;54000),1,0)</f>
        <v>0</v>
      </c>
      <c r="Q24" s="193">
        <f>IF(OR(MID(W4,1,1)="1",MID(W4,1,1)="2",MID(W4,1,1)="3",MID(W4,1,1)="4",MID(W4,1,1)="5"),1,0)</f>
        <v>0</v>
      </c>
    </row>
    <row r="25" spans="1:60" ht="25.5" customHeight="1" x14ac:dyDescent="0.2">
      <c r="A25" s="242">
        <f t="shared" si="2"/>
        <v>14</v>
      </c>
      <c r="B25" s="238" t="str">
        <f t="shared" si="0"/>
        <v>OK</v>
      </c>
      <c r="C25" s="491" t="s">
        <v>2972</v>
      </c>
      <c r="D25" s="491"/>
      <c r="E25" s="491"/>
      <c r="F25" s="491"/>
      <c r="G25" s="491"/>
      <c r="H25" s="491"/>
      <c r="I25" s="491"/>
      <c r="J25" s="491"/>
      <c r="L25" s="190">
        <f>MAX(N25:R25)</f>
        <v>0</v>
      </c>
      <c r="M25" s="190"/>
      <c r="N25" s="190">
        <f>IF(OR(W5=0,W6=0),1,0)</f>
        <v>0</v>
      </c>
      <c r="O25" s="190">
        <f>IF(LEN(W5)&lt;4,1,0)</f>
        <v>0</v>
      </c>
      <c r="P25" s="193">
        <f>IF(LEN(W6)&lt;6,1,0)</f>
        <v>0</v>
      </c>
    </row>
    <row r="26" spans="1:60" ht="24.95" customHeight="1" x14ac:dyDescent="0.2">
      <c r="A26" s="242">
        <f t="shared" si="2"/>
        <v>15</v>
      </c>
      <c r="B26" s="238" t="str">
        <f t="shared" si="0"/>
        <v>OK</v>
      </c>
      <c r="C26" s="491" t="s">
        <v>2541</v>
      </c>
      <c r="D26" s="491"/>
      <c r="E26" s="491"/>
      <c r="F26" s="491"/>
      <c r="G26" s="491"/>
      <c r="H26" s="491"/>
      <c r="I26" s="491"/>
      <c r="J26" s="491"/>
      <c r="L26" s="190">
        <f>MAX(N26:BH26)</f>
        <v>0</v>
      </c>
      <c r="M26" s="190"/>
      <c r="N26" s="213">
        <f>IF(LEN(W7)&lt;6,1,0)</f>
        <v>0</v>
      </c>
      <c r="O26" s="213">
        <f>IF(ISERROR(FIND("@",W7,1)),1,0)</f>
        <v>0</v>
      </c>
      <c r="P26" s="213">
        <f>IF(ISERROR(FIND("@",W7,1)),1,0)</f>
        <v>0</v>
      </c>
      <c r="Q26" s="213">
        <f>IF(ISERROR(FIND(".",W7,1)),1,0)</f>
        <v>0</v>
      </c>
      <c r="R26" s="213">
        <f>IF(ISERROR(FIND(".",W7,1)),1,0)</f>
        <v>0</v>
      </c>
      <c r="S26" s="213">
        <f>IF(ISERROR(FIND("Č",W7,1)),0,1)</f>
        <v>0</v>
      </c>
      <c r="T26" s="213">
        <f>IF(ISERROR(FIND("Č",W7,1)),0,1)</f>
        <v>0</v>
      </c>
      <c r="U26" s="213">
        <f>IF(ISERROR(FIND("Ć",W7,1)),0,1)</f>
        <v>0</v>
      </c>
      <c r="V26" s="213">
        <f>IF(ISERROR(FIND("Ć",W7,1)),0,1)</f>
        <v>0</v>
      </c>
      <c r="W26" s="213">
        <f>IF(ISERROR(FIND("Š",W7,1)),0,1)</f>
        <v>0</v>
      </c>
      <c r="X26" s="213">
        <f>IF(ISERROR(FIND("Š",W7,1)),0,1)</f>
        <v>0</v>
      </c>
      <c r="Y26" s="213">
        <f>IF(ISERROR(FIND("Ž",W7,1)),0,1)</f>
        <v>0</v>
      </c>
      <c r="Z26" s="213">
        <f>IF(ISERROR(FIND("Ž",W7,1)),0,1)</f>
        <v>0</v>
      </c>
      <c r="AA26" s="213">
        <f>IF(ISERROR(FIND("Đ",W7,1)),0,1)</f>
        <v>0</v>
      </c>
      <c r="AB26" s="213">
        <f>IF(ISERROR(FIND("Đ",W7,1)),0,1)</f>
        <v>0</v>
      </c>
      <c r="AC26" s="3">
        <f>IF(ISERROR(FIND("""",W7,1)),0,1)</f>
        <v>0</v>
      </c>
      <c r="AD26" s="3">
        <f>IF(ISERROR(FIND("""",W7,1)),0,1)</f>
        <v>0</v>
      </c>
      <c r="AE26" s="3">
        <f>IF(ISERROR(FIND(",",W7,1)),0,1)</f>
        <v>0</v>
      </c>
      <c r="AF26" s="3">
        <f>IF(ISERROR(FIND(",",W7,1)),0,1)</f>
        <v>0</v>
      </c>
      <c r="AG26" s="3">
        <f>IF(ISERROR(FIND(";",W7,1)),0,1)</f>
        <v>0</v>
      </c>
      <c r="AH26" s="3">
        <f>IF(ISERROR(FIND(";",W7,1)),0,1)</f>
        <v>0</v>
      </c>
      <c r="AI26" s="3">
        <f>IF(ISERROR(FIND(":",$W7,1)),0,1)</f>
        <v>0</v>
      </c>
      <c r="AJ26" s="3">
        <f>IF(ISERROR(FIND(":",$W7,1)),0,1)</f>
        <v>0</v>
      </c>
      <c r="AK26" s="3">
        <f>IF(ISERROR(FIND("?",$W7,1)),0,1)</f>
        <v>0</v>
      </c>
      <c r="AL26" s="3">
        <f>IF(ISERROR(FIND("?",$W7,1)),0,1)</f>
        <v>0</v>
      </c>
      <c r="AM26" s="3">
        <f>IF(ISERROR(FIND("!",$W7,1)),0,1)</f>
        <v>0</v>
      </c>
      <c r="AN26" s="3">
        <f>IF(ISERROR(FIND("!",$W7,1)),0,1)</f>
        <v>0</v>
      </c>
      <c r="AO26" s="3">
        <f>IF(ISERROR(FIND("#",$W7,1)),0,1)</f>
        <v>0</v>
      </c>
      <c r="AP26" s="3">
        <f>IF(ISERROR(FIND("#",$W7,1)),0,1)</f>
        <v>0</v>
      </c>
      <c r="AQ26" s="3">
        <f>IF(ISERROR(FIND("$",$W7,1)),0,1)</f>
        <v>0</v>
      </c>
      <c r="AR26" s="3">
        <f>IF(ISERROR(FIND("$",$W7,1)),0,1)</f>
        <v>0</v>
      </c>
      <c r="AS26" s="3">
        <f>IF(ISERROR(FIND("%",$W7,1)),0,1)</f>
        <v>0</v>
      </c>
      <c r="AT26" s="3">
        <f>IF(ISERROR(FIND("%",$W7,1)),0,1)</f>
        <v>0</v>
      </c>
      <c r="AU26" s="3">
        <f>IF(ISERROR(FIND("&amp;",$W7,1)),0,1)</f>
        <v>0</v>
      </c>
      <c r="AV26" s="3">
        <f>IF(ISERROR(FIND("&amp;",$W7,1)),0,1)</f>
        <v>0</v>
      </c>
      <c r="AW26" s="3">
        <f>IF(ISERROR(FIND("/",$W7,1)),0,1)</f>
        <v>0</v>
      </c>
      <c r="AX26" s="3">
        <f>IF(ISERROR(FIND("/",$W7,1)),0,1)</f>
        <v>0</v>
      </c>
      <c r="AY26" s="3">
        <f>IF(ISERROR(FIND("=",$W7,1)),0,1)</f>
        <v>0</v>
      </c>
      <c r="AZ26" s="3">
        <f>IF(ISERROR(FIND("=",$W7,1)),0,1)</f>
        <v>0</v>
      </c>
      <c r="BA26" s="3">
        <f>IF(ISERROR(FIND("(",$W7,1)),0,1)</f>
        <v>0</v>
      </c>
      <c r="BB26" s="3">
        <f>IF(ISERROR(FIND("(",$W7,1)),0,1)</f>
        <v>0</v>
      </c>
      <c r="BC26" s="3">
        <f>IF(ISERROR(FIND(")",$W7,1)),0,1)</f>
        <v>0</v>
      </c>
      <c r="BD26" s="3">
        <f>IF(ISERROR(FIND(")",$W7,1)),0,1)</f>
        <v>0</v>
      </c>
      <c r="BE26" s="3">
        <f>IF(ISERROR(FIND(" ",$W7,1)),0,1)</f>
        <v>0</v>
      </c>
      <c r="BF26" s="3">
        <f>IF(ISERROR(FIND(" ",$W7,1)),0,1)</f>
        <v>0</v>
      </c>
      <c r="BG26" s="3">
        <f>IF(RIGHT(W7,1)=".",1,0)</f>
        <v>0</v>
      </c>
      <c r="BH26" s="3">
        <f>IF(RIGHT(W7,1)=".",1,0)</f>
        <v>0</v>
      </c>
    </row>
    <row r="27" spans="1:60" ht="20.100000000000001" customHeight="1" x14ac:dyDescent="0.2">
      <c r="A27" s="242">
        <f t="shared" si="2"/>
        <v>16</v>
      </c>
      <c r="B27" s="238" t="str">
        <f t="shared" si="0"/>
        <v>OK</v>
      </c>
      <c r="C27" s="491" t="s">
        <v>2954</v>
      </c>
      <c r="D27" s="491"/>
      <c r="E27" s="491"/>
      <c r="F27" s="491"/>
      <c r="G27" s="491"/>
      <c r="H27" s="491"/>
      <c r="I27" s="491"/>
      <c r="J27" s="491"/>
      <c r="L27" s="190">
        <f>MAX(N27:R27)</f>
        <v>0</v>
      </c>
      <c r="M27" s="190"/>
      <c r="N27" s="190">
        <f>IF(OR(U9&lt;1,U9&gt;631),1,0)</f>
        <v>0</v>
      </c>
      <c r="O27" s="190">
        <f>IF(U10="Šifra grada/općine ne postoji",1,0)</f>
        <v>0</v>
      </c>
    </row>
    <row r="28" spans="1:60" ht="20.100000000000001" customHeight="1" x14ac:dyDescent="0.2">
      <c r="A28" s="242">
        <f t="shared" si="2"/>
        <v>17</v>
      </c>
      <c r="B28" s="238" t="str">
        <f t="shared" si="0"/>
        <v>OK</v>
      </c>
      <c r="C28" s="491" t="s">
        <v>1999</v>
      </c>
      <c r="D28" s="491"/>
      <c r="E28" s="491"/>
      <c r="F28" s="491"/>
      <c r="G28" s="491"/>
      <c r="H28" s="491"/>
      <c r="I28" s="491"/>
      <c r="J28" s="491"/>
      <c r="L28" s="190">
        <f>MAX(N28:T28)</f>
        <v>0</v>
      </c>
      <c r="M28" s="190"/>
      <c r="N28" s="190">
        <f>IF(AND(S7&lt;&gt;1,S7&lt;&gt;2,S7&lt;&gt;3,S7&lt;&gt;5,S7&lt;&gt;6,S7&lt;&gt;7,S7&lt;&gt;9,S7&lt;&gt;10),1,0)</f>
        <v>0</v>
      </c>
    </row>
    <row r="29" spans="1:60" ht="38.25" customHeight="1" x14ac:dyDescent="0.2">
      <c r="A29" s="242">
        <f t="shared" si="2"/>
        <v>18</v>
      </c>
      <c r="B29" s="238" t="str">
        <f t="shared" ref="B29:B34" si="3">IF(L29=1,"Pogreška", IF(M29=1, "Provjera","OK"))</f>
        <v>OK</v>
      </c>
      <c r="C29" s="491" t="s">
        <v>2542</v>
      </c>
      <c r="D29" s="491"/>
      <c r="E29" s="491"/>
      <c r="F29" s="491"/>
      <c r="G29" s="491"/>
      <c r="H29" s="491"/>
      <c r="I29" s="491"/>
      <c r="J29" s="491"/>
      <c r="L29" s="190">
        <f>MAX(N29:T29)</f>
        <v>0</v>
      </c>
      <c r="M29" s="190"/>
      <c r="N29" s="190">
        <f>IF(AND(S7=10,OR(U7&lt;8,U7=12)),1,0)</f>
        <v>0</v>
      </c>
      <c r="O29" s="193">
        <f>IF(AND(S7&lt;10,OR(U7=9,U7=10, U7 = 11,U7&gt;12)),1,0)</f>
        <v>0</v>
      </c>
    </row>
    <row r="30" spans="1:60" ht="42" customHeight="1" x14ac:dyDescent="0.2">
      <c r="A30" s="242">
        <f t="shared" si="2"/>
        <v>19</v>
      </c>
      <c r="B30" s="238" t="str">
        <f t="shared" si="3"/>
        <v>OK</v>
      </c>
      <c r="C30" s="491" t="s">
        <v>2538</v>
      </c>
      <c r="D30" s="491"/>
      <c r="E30" s="491"/>
      <c r="F30" s="491"/>
      <c r="G30" s="491"/>
      <c r="H30" s="491"/>
      <c r="I30" s="491"/>
      <c r="J30" s="491"/>
      <c r="L30" s="190">
        <f>MAX(N30:S30)</f>
        <v>0</v>
      </c>
      <c r="M30" s="190"/>
      <c r="N30" s="190">
        <f>IF(AND(OR(S7=3,S7=6),OR(AA6=0,AA6="")),1,0)</f>
        <v>0</v>
      </c>
      <c r="O30" s="193">
        <f>IF(AND(AND(S7&lt;&gt;3,S7&lt;&gt;6),AND(AA6&lt;&gt;0,AA6&lt;&gt;"")),1,0)</f>
        <v>0</v>
      </c>
    </row>
    <row r="31" spans="1:60" ht="65.25" customHeight="1" x14ac:dyDescent="0.2">
      <c r="A31" s="242">
        <f t="shared" si="2"/>
        <v>20</v>
      </c>
      <c r="B31" s="238" t="str">
        <f t="shared" si="3"/>
        <v>OK</v>
      </c>
      <c r="C31" s="491" t="s">
        <v>1737</v>
      </c>
      <c r="D31" s="491"/>
      <c r="E31" s="491"/>
      <c r="F31" s="491"/>
      <c r="G31" s="491"/>
      <c r="H31" s="491"/>
      <c r="I31" s="491"/>
      <c r="J31" s="491"/>
      <c r="L31" s="190">
        <f>MAX(N31:Q31)</f>
        <v>0</v>
      </c>
      <c r="M31" s="190"/>
      <c r="N31" s="193">
        <f>IF(AND(AND(AA5&lt;&gt;0,AA5&lt;&gt;""),S7&lt;&gt;2,S7&lt;&gt;3,S7&lt;&gt;5,S7&lt;&gt;6),1,0)</f>
        <v>0</v>
      </c>
      <c r="O31" s="193">
        <f>IF(AND(OR(AA5=0,AA5=""),OR(S7=2,S7=3,S7=5,S7=6)),1,0)</f>
        <v>0</v>
      </c>
      <c r="P31" s="193">
        <f>IF(AND(U5&lt;&gt;0,U5&lt;&gt;"",U5=AA5),1,0)</f>
        <v>0</v>
      </c>
    </row>
    <row r="32" spans="1:60" ht="30" customHeight="1" x14ac:dyDescent="0.2">
      <c r="A32" s="242">
        <f>A31+1</f>
        <v>21</v>
      </c>
      <c r="B32" s="238" t="str">
        <f t="shared" si="3"/>
        <v>OK</v>
      </c>
      <c r="C32" s="491" t="s">
        <v>2543</v>
      </c>
      <c r="D32" s="491"/>
      <c r="E32" s="491"/>
      <c r="F32" s="491"/>
      <c r="G32" s="491"/>
      <c r="H32" s="491"/>
      <c r="I32" s="491"/>
      <c r="J32" s="491"/>
      <c r="L32" s="190">
        <f t="shared" ref="L32:L39" si="4">MAX(N32:R32)</f>
        <v>0</v>
      </c>
      <c r="M32" s="190"/>
      <c r="N32" s="190">
        <f>IF(AND(S6="DA",OR(S7=1,S7=2,S7=3,S7=9,S7=10)),1,0)</f>
        <v>0</v>
      </c>
    </row>
    <row r="33" spans="1:61" ht="40.5" customHeight="1" x14ac:dyDescent="0.2">
      <c r="A33" s="242">
        <f t="shared" si="2"/>
        <v>22</v>
      </c>
      <c r="B33" s="238" t="str">
        <f t="shared" si="3"/>
        <v>OK</v>
      </c>
      <c r="C33" s="491" t="s">
        <v>1584</v>
      </c>
      <c r="D33" s="491"/>
      <c r="E33" s="491"/>
      <c r="F33" s="491"/>
      <c r="G33" s="491"/>
      <c r="H33" s="491"/>
      <c r="I33" s="491"/>
      <c r="J33" s="491"/>
      <c r="L33" s="190">
        <f t="shared" si="4"/>
        <v>0</v>
      </c>
      <c r="M33" s="190"/>
      <c r="N33" s="190">
        <f>IF(AND(S7&lt;10,OR(U7&gt;12,U7=8,U7=9,U7=10)),1,0)</f>
        <v>0</v>
      </c>
    </row>
    <row r="34" spans="1:61" ht="20.100000000000001" customHeight="1" x14ac:dyDescent="0.2">
      <c r="A34" s="242">
        <f t="shared" si="2"/>
        <v>23</v>
      </c>
      <c r="B34" s="238" t="str">
        <f t="shared" si="3"/>
        <v>OK</v>
      </c>
      <c r="C34" s="491" t="s">
        <v>1118</v>
      </c>
      <c r="D34" s="491"/>
      <c r="E34" s="491"/>
      <c r="F34" s="491"/>
      <c r="G34" s="491"/>
      <c r="H34" s="491"/>
      <c r="I34" s="491"/>
      <c r="J34" s="491"/>
      <c r="L34" s="190">
        <f t="shared" si="4"/>
        <v>0</v>
      </c>
      <c r="M34" s="190"/>
      <c r="N34" s="190">
        <f>IF(AA7="Šifra države nepostojeća",1,0)</f>
        <v>0</v>
      </c>
    </row>
    <row r="35" spans="1:61" ht="20.100000000000001" customHeight="1" x14ac:dyDescent="0.2">
      <c r="A35" s="242">
        <f t="shared" si="2"/>
        <v>24</v>
      </c>
      <c r="B35" s="238" t="str">
        <f t="shared" si="0"/>
        <v>OK</v>
      </c>
      <c r="C35" s="491" t="s">
        <v>2955</v>
      </c>
      <c r="D35" s="491"/>
      <c r="E35" s="491"/>
      <c r="F35" s="491"/>
      <c r="G35" s="491"/>
      <c r="H35" s="491"/>
      <c r="I35" s="491"/>
      <c r="J35" s="491"/>
      <c r="L35" s="190">
        <f t="shared" si="4"/>
        <v>0</v>
      </c>
      <c r="M35" s="190"/>
      <c r="N35" s="190">
        <f>IF(AND(OR(W8=0,W8=""),U7&lt;&gt;16),1,0)</f>
        <v>0</v>
      </c>
      <c r="O35" s="193">
        <f>IF(W9="Šifra NKD-a ne postoji",1,0)</f>
        <v>0</v>
      </c>
    </row>
    <row r="36" spans="1:61" ht="20.100000000000001" customHeight="1" x14ac:dyDescent="0.2">
      <c r="A36" s="242">
        <f t="shared" si="2"/>
        <v>25</v>
      </c>
      <c r="B36" s="238" t="str">
        <f>IF(L36=1,"Pogreška", IF(M36=1, "Provjera","OK"))</f>
        <v>OK</v>
      </c>
      <c r="C36" s="491" t="s">
        <v>1585</v>
      </c>
      <c r="D36" s="491"/>
      <c r="E36" s="491"/>
      <c r="F36" s="491"/>
      <c r="G36" s="491"/>
      <c r="H36" s="491"/>
      <c r="I36" s="491"/>
      <c r="J36" s="491"/>
      <c r="L36" s="190">
        <f t="shared" si="4"/>
        <v>0</v>
      </c>
      <c r="M36" s="190"/>
      <c r="N36" s="190">
        <f>IF(AND(S3&lt;&gt;1,S3&lt;&gt;2,S3&lt;&gt;3,S3&lt;&gt;4),1,0)</f>
        <v>0</v>
      </c>
      <c r="O36" s="193">
        <f>IF(AND(S6="DA",S3=1),1,0)</f>
        <v>0</v>
      </c>
    </row>
    <row r="37" spans="1:61" ht="20.100000000000001" customHeight="1" x14ac:dyDescent="0.2">
      <c r="A37" s="242">
        <f t="shared" si="2"/>
        <v>26</v>
      </c>
      <c r="B37" s="238" t="str">
        <f>IF(L37=1,"Pogreška", IF(M37=1, "Provjera","OK"))</f>
        <v>OK</v>
      </c>
      <c r="C37" s="491" t="s">
        <v>1586</v>
      </c>
      <c r="D37" s="491"/>
      <c r="E37" s="491"/>
      <c r="F37" s="491"/>
      <c r="G37" s="491"/>
      <c r="H37" s="491"/>
      <c r="I37" s="491"/>
      <c r="J37" s="491"/>
      <c r="L37" s="190">
        <f t="shared" si="4"/>
        <v>0</v>
      </c>
      <c r="M37" s="190"/>
      <c r="N37" s="190">
        <f>IF(AND(S4&lt;&gt;11,S4&lt;&gt;12,S4&lt;&gt;13,S4&lt;&gt;21,S4&lt;&gt;22,S4&lt;&gt;31,S4&lt;&gt;41,S4&lt;&gt;42),1,0)</f>
        <v>0</v>
      </c>
    </row>
    <row r="38" spans="1:61" ht="24.95" customHeight="1" x14ac:dyDescent="0.2">
      <c r="A38" s="242">
        <f t="shared" si="2"/>
        <v>27</v>
      </c>
      <c r="B38" s="238" t="str">
        <f>IF(L38=1,"Pogreška", IF(M38=1, "Provjera","OK"))</f>
        <v>OK</v>
      </c>
      <c r="C38" s="491" t="s">
        <v>1768</v>
      </c>
      <c r="D38" s="491"/>
      <c r="E38" s="491"/>
      <c r="F38" s="491"/>
      <c r="G38" s="491"/>
      <c r="H38" s="491"/>
      <c r="I38" s="491"/>
      <c r="J38" s="491"/>
      <c r="L38" s="190">
        <f t="shared" si="4"/>
        <v>0</v>
      </c>
      <c r="M38" s="190"/>
      <c r="N38" s="190">
        <f>IF(ISERROR(Y2+Y3),1,IF(Y2+Y3&lt;&gt;100,1,0))</f>
        <v>0</v>
      </c>
      <c r="O38" s="193">
        <f>IF(ISERROR(INT(Y2)),1,IF(ROUND(Y2,0)&lt;&gt;Y2,1,0))</f>
        <v>0</v>
      </c>
      <c r="P38" s="193">
        <f>IF(ISERROR(INT(Y3)),1,IF(ROUND(INT(Y3),0)&lt;&gt;INT(Y3),1,0))</f>
        <v>0</v>
      </c>
    </row>
    <row r="39" spans="1:61" ht="24.95" customHeight="1" x14ac:dyDescent="0.2">
      <c r="A39" s="242">
        <f t="shared" si="2"/>
        <v>28</v>
      </c>
      <c r="B39" s="238" t="str">
        <f t="shared" si="0"/>
        <v>OK</v>
      </c>
      <c r="C39" s="491" t="s">
        <v>2924</v>
      </c>
      <c r="D39" s="491"/>
      <c r="E39" s="491"/>
      <c r="F39" s="491"/>
      <c r="G39" s="491"/>
      <c r="H39" s="491"/>
      <c r="I39" s="491"/>
      <c r="J39" s="491"/>
      <c r="L39" s="190">
        <f t="shared" si="4"/>
        <v>0</v>
      </c>
      <c r="M39" s="190"/>
      <c r="N39" s="190">
        <f>IF(AND(P2&gt;0,P8=0),1,0)</f>
        <v>0</v>
      </c>
      <c r="O39" s="190">
        <f>IF(Q8=0,1,0)</f>
        <v>0</v>
      </c>
      <c r="P39" s="193">
        <f>IF(OR(P8&gt;12,AND(Q8&gt;12,P8&gt;0)),1,0)</f>
        <v>0</v>
      </c>
      <c r="Q39" s="193">
        <f>IF(AND(Q8&gt;12,OR(S5&lt;&gt;2,S2&lt;&gt;30)),1,0)</f>
        <v>0</v>
      </c>
    </row>
    <row r="40" spans="1:61" ht="30" customHeight="1" x14ac:dyDescent="0.2">
      <c r="A40" s="242">
        <f t="shared" si="2"/>
        <v>29</v>
      </c>
      <c r="B40" s="238" t="str">
        <f>IF(L40=1,"Pogreška", IF(M40=1, "Provjera","OK"))</f>
        <v>OK</v>
      </c>
      <c r="C40" s="491" t="s">
        <v>535</v>
      </c>
      <c r="D40" s="491"/>
      <c r="E40" s="491"/>
      <c r="F40" s="491"/>
      <c r="G40" s="491"/>
      <c r="H40" s="491"/>
      <c r="I40" s="491"/>
      <c r="J40" s="491"/>
      <c r="L40" s="190">
        <f>MAX(N40:BI40)</f>
        <v>0</v>
      </c>
      <c r="M40" s="190"/>
      <c r="N40" s="190">
        <f>IF(OR(LEN(Y6)&lt;5,LEN(Y6)&lt;8,LEN(Y8)&lt;6),1,0)</f>
        <v>0</v>
      </c>
      <c r="O40" s="213">
        <f>IF(LEN(Y8)&lt;6,1,0)</f>
        <v>0</v>
      </c>
      <c r="P40" s="213">
        <f>IF(ISERROR(FIND("@",Y8,1)),1,0)</f>
        <v>0</v>
      </c>
      <c r="Q40" s="213">
        <f>IF(ISERROR(FIND("@",Y8,1)),1,0)</f>
        <v>0</v>
      </c>
      <c r="R40" s="213">
        <f>IF(ISERROR(FIND(".",Y8,1)),1,0)</f>
        <v>0</v>
      </c>
      <c r="S40" s="213">
        <f>IF(ISERROR(FIND(".",Y8,1)),1,0)</f>
        <v>0</v>
      </c>
      <c r="T40" s="213">
        <f>IF(ISERROR(FIND("Č",Y8,1)),0,1)</f>
        <v>0</v>
      </c>
      <c r="U40" s="213">
        <f>IF(ISERROR(FIND("Č",Y8,1)),0,1)</f>
        <v>0</v>
      </c>
      <c r="V40" s="213">
        <f>IF(ISERROR(FIND("Ć",Y8,1)),0,1)</f>
        <v>0</v>
      </c>
      <c r="W40" s="213">
        <f>IF(ISERROR(FIND("Ć",Y8,1)),0,1)</f>
        <v>0</v>
      </c>
      <c r="X40" s="213">
        <f>IF(ISERROR(FIND("Š",Y8,1)),0,1)</f>
        <v>0</v>
      </c>
      <c r="Y40" s="213">
        <f>IF(ISERROR(FIND("Š",Y8,1)),0,1)</f>
        <v>0</v>
      </c>
      <c r="Z40" s="213">
        <f>IF(ISERROR(FIND("Ž",Y8,1)),0,1)</f>
        <v>0</v>
      </c>
      <c r="AA40" s="213">
        <f>IF(ISERROR(FIND("Ž",Y8,1)),0,1)</f>
        <v>0</v>
      </c>
      <c r="AB40" s="213">
        <f>IF(ISERROR(FIND("Đ",Y8,1)),0,1)</f>
        <v>0</v>
      </c>
      <c r="AC40" s="213">
        <f>IF(ISERROR(FIND("Đ",Y8,1)),0,1)</f>
        <v>0</v>
      </c>
      <c r="AD40" s="3">
        <f>IF(ISERROR(FIND("""",Y8,1)),0,1)</f>
        <v>0</v>
      </c>
      <c r="AE40" s="3">
        <f>IF(ISERROR(FIND("""",Y8,1)),0,1)</f>
        <v>0</v>
      </c>
      <c r="AF40" s="3">
        <f>IF(ISERROR(FIND(",",Y8,1)),0,1)</f>
        <v>0</v>
      </c>
      <c r="AG40" s="3">
        <f>IF(ISERROR(FIND(",",Y8,1)),0,1)</f>
        <v>0</v>
      </c>
      <c r="AH40" s="3">
        <f>IF(ISERROR(FIND(";",Y8,1)),0,1)</f>
        <v>0</v>
      </c>
      <c r="AI40" s="3">
        <f>IF(ISERROR(FIND(";",Y8,1)),0,1)</f>
        <v>0</v>
      </c>
      <c r="AJ40" s="3">
        <f>IF(ISERROR(FIND(":",$W18,1)),0,1)</f>
        <v>0</v>
      </c>
      <c r="AK40" s="3">
        <f>IF(ISERROR(FIND(":",$W18,1)),0,1)</f>
        <v>0</v>
      </c>
      <c r="AL40" s="3">
        <f>IF(ISERROR(FIND("?",$W18,1)),0,1)</f>
        <v>0</v>
      </c>
      <c r="AM40" s="3">
        <f>IF(ISERROR(FIND("?",$W18,1)),0,1)</f>
        <v>0</v>
      </c>
      <c r="AN40" s="3">
        <f>IF(ISERROR(FIND("!",$W18,1)),0,1)</f>
        <v>0</v>
      </c>
      <c r="AO40" s="3">
        <f>IF(ISERROR(FIND("!",$W18,1)),0,1)</f>
        <v>0</v>
      </c>
      <c r="AP40" s="3">
        <f>IF(ISERROR(FIND("#",$W18,1)),0,1)</f>
        <v>0</v>
      </c>
      <c r="AQ40" s="3">
        <f>IF(ISERROR(FIND("#",$W18,1)),0,1)</f>
        <v>0</v>
      </c>
      <c r="AR40" s="3">
        <f>IF(ISERROR(FIND("$",$W18,1)),0,1)</f>
        <v>0</v>
      </c>
      <c r="AS40" s="3">
        <f>IF(ISERROR(FIND("$",$W18,1)),0,1)</f>
        <v>0</v>
      </c>
      <c r="AT40" s="3">
        <f>IF(ISERROR(FIND("%",$W18,1)),0,1)</f>
        <v>0</v>
      </c>
      <c r="AU40" s="3">
        <f>IF(ISERROR(FIND("%",$W18,1)),0,1)</f>
        <v>0</v>
      </c>
      <c r="AV40" s="3">
        <f>IF(ISERROR(FIND("&amp;",$W18,1)),0,1)</f>
        <v>0</v>
      </c>
      <c r="AW40" s="3">
        <f>IF(ISERROR(FIND("&amp;",$W18,1)),0,1)</f>
        <v>0</v>
      </c>
      <c r="AX40" s="3">
        <f>IF(ISERROR(FIND("/",$W18,1)),0,1)</f>
        <v>0</v>
      </c>
      <c r="AY40" s="3">
        <f>IF(ISERROR(FIND("/",$W18,1)),0,1)</f>
        <v>0</v>
      </c>
      <c r="AZ40" s="3">
        <f>IF(ISERROR(FIND("=",$W18,1)),0,1)</f>
        <v>0</v>
      </c>
      <c r="BA40" s="3">
        <f>IF(ISERROR(FIND("=",$W18,1)),0,1)</f>
        <v>0</v>
      </c>
      <c r="BB40" s="3">
        <f>IF(ISERROR(FIND("(",$W18,1)),0,1)</f>
        <v>0</v>
      </c>
      <c r="BC40" s="3">
        <f>IF(ISERROR(FIND("(",$W18,1)),0,1)</f>
        <v>0</v>
      </c>
      <c r="BD40" s="3">
        <f>IF(ISERROR(FIND(")",$W18,1)),0,1)</f>
        <v>0</v>
      </c>
      <c r="BE40" s="3">
        <f>IF(ISERROR(FIND(")",$W18,1)),0,1)</f>
        <v>0</v>
      </c>
      <c r="BF40" s="3">
        <f>IF(ISERROR(FIND(" ",$W18,1)),0,1)</f>
        <v>0</v>
      </c>
      <c r="BG40" s="3">
        <f>IF(ISERROR(FIND(" ",$W18,1)),0,1)</f>
        <v>0</v>
      </c>
      <c r="BH40" s="3">
        <f>IF(RIGHT(Y8,1)=".",1,0)</f>
        <v>0</v>
      </c>
      <c r="BI40" s="3">
        <f>IF(RIGHT(Y8,1)=".",1,0)</f>
        <v>0</v>
      </c>
    </row>
    <row r="41" spans="1:61" ht="41.25" customHeight="1" x14ac:dyDescent="0.2">
      <c r="A41" s="242">
        <f t="shared" si="2"/>
        <v>30</v>
      </c>
      <c r="B41" s="238" t="str">
        <f t="shared" si="0"/>
        <v>OK</v>
      </c>
      <c r="C41" s="491" t="s">
        <v>1536</v>
      </c>
      <c r="D41" s="491"/>
      <c r="E41" s="491"/>
      <c r="F41" s="491"/>
      <c r="G41" s="491"/>
      <c r="H41" s="491"/>
      <c r="I41" s="491"/>
      <c r="J41" s="491"/>
      <c r="L41" s="190">
        <f>MAX(N41:Q41)</f>
        <v>0</v>
      </c>
      <c r="M41" s="190"/>
      <c r="N41" s="190">
        <f>IF(OR(AND(AA2="",AA3&lt;&gt;""),AND(AA2&lt;&gt;"",AA3="")),1,0)</f>
        <v>0</v>
      </c>
      <c r="O41" s="193">
        <f>IF(AND(RefStr!H27=RefStr!B64,RefStr!H27&lt;&gt;""),1,0)</f>
        <v>0</v>
      </c>
      <c r="P41" s="193">
        <f>IF(AND(AA2&lt;&gt;"",Y8=W7),1,0)</f>
        <v>0</v>
      </c>
    </row>
    <row r="42" spans="1:61" ht="20.100000000000001" customHeight="1" x14ac:dyDescent="0.2">
      <c r="A42" s="243">
        <f t="shared" si="2"/>
        <v>31</v>
      </c>
      <c r="B42" s="239" t="str">
        <f t="shared" si="0"/>
        <v>OK</v>
      </c>
      <c r="C42" s="496" t="s">
        <v>1537</v>
      </c>
      <c r="D42" s="496"/>
      <c r="E42" s="496"/>
      <c r="F42" s="496"/>
      <c r="G42" s="496"/>
      <c r="H42" s="496"/>
      <c r="I42" s="496"/>
      <c r="J42" s="496"/>
      <c r="L42" s="190">
        <f t="shared" ref="L42:L49" si="5">MAX(N42:R42)</f>
        <v>0</v>
      </c>
      <c r="M42" s="190"/>
      <c r="N42" s="190">
        <f>IF(LEN(AA10)&lt;5,1,0)</f>
        <v>0</v>
      </c>
      <c r="O42" s="190"/>
    </row>
    <row r="43" spans="1:61" ht="20.100000000000001" customHeight="1" x14ac:dyDescent="0.2">
      <c r="A43" s="520" t="s">
        <v>1285</v>
      </c>
      <c r="B43" s="521"/>
      <c r="C43" s="521"/>
      <c r="D43" s="521"/>
      <c r="E43" s="521"/>
      <c r="F43" s="521"/>
      <c r="G43" s="521"/>
      <c r="H43" s="521"/>
      <c r="I43" s="521"/>
      <c r="J43" s="522"/>
      <c r="L43" s="190">
        <f t="shared" si="5"/>
        <v>0</v>
      </c>
      <c r="M43" s="190"/>
      <c r="N43" s="190"/>
      <c r="O43" s="190"/>
      <c r="P43" s="190"/>
    </row>
    <row r="44" spans="1:61" ht="53.25" customHeight="1" x14ac:dyDescent="0.2">
      <c r="A44" s="241">
        <f>A42+1</f>
        <v>32</v>
      </c>
      <c r="B44" s="237" t="str">
        <f>IF(L44=1,"Pogreška", IF(M44=1, "Provjera","OK"))</f>
        <v>OK</v>
      </c>
      <c r="C44" s="495" t="s">
        <v>702</v>
      </c>
      <c r="D44" s="495"/>
      <c r="E44" s="495"/>
      <c r="F44" s="495"/>
      <c r="G44" s="495"/>
      <c r="H44" s="495"/>
      <c r="I44" s="495"/>
      <c r="J44" s="495"/>
      <c r="L44" s="190">
        <f t="shared" si="5"/>
        <v>0</v>
      </c>
      <c r="M44" s="190"/>
      <c r="N44" s="190">
        <f>IF(ABS(Bilanca!I73-Bilanca!I134)&gt;1,1,0)</f>
        <v>0</v>
      </c>
      <c r="O44" s="190">
        <f>IF(ABS(Bilanca!J73-Bilanca!J134)&gt;1,1,0)</f>
        <v>0</v>
      </c>
      <c r="P44" s="193">
        <f>IF(AND(Bilanca!J73=0,OR(S5&lt;&gt;2,S2&lt;&gt;30)),1,0)</f>
        <v>0</v>
      </c>
      <c r="Q44" s="193">
        <f>IF(AND(Bilanca!I73=0,P8&gt;0,OR(S5&lt;&gt;2,S2&lt;&gt;30)),1,0)</f>
        <v>0</v>
      </c>
    </row>
    <row r="45" spans="1:61" ht="30" customHeight="1" x14ac:dyDescent="0.2">
      <c r="A45" s="242">
        <f>A44+1</f>
        <v>33</v>
      </c>
      <c r="B45" s="238" t="str">
        <f>IF(L45=1,"Pogreška", IF(M45=1, "Provjera","OK"))</f>
        <v>OK</v>
      </c>
      <c r="C45" s="491" t="s">
        <v>342</v>
      </c>
      <c r="D45" s="491"/>
      <c r="E45" s="491"/>
      <c r="F45" s="491"/>
      <c r="G45" s="491"/>
      <c r="H45" s="491"/>
      <c r="I45" s="491"/>
      <c r="J45" s="491"/>
      <c r="L45" s="190">
        <f t="shared" si="5"/>
        <v>0</v>
      </c>
      <c r="M45" s="190"/>
      <c r="N45" s="190">
        <f>IF(ABS(Bilanca!I74-Bilanca!I135)&gt;1,1,0)</f>
        <v>0</v>
      </c>
      <c r="O45" s="190">
        <f>IF(ABS(Bilanca!J74-Bilanca!J135)&gt;1,1,0)</f>
        <v>0</v>
      </c>
    </row>
    <row r="46" spans="1:61" ht="30" customHeight="1" x14ac:dyDescent="0.2">
      <c r="A46" s="242">
        <f t="shared" ref="A46:A71" si="6">A45+1</f>
        <v>34</v>
      </c>
      <c r="B46" s="238" t="str">
        <f>IF(L46=1,"Pogreška", IF(M46=1, "Provjera","OK"))</f>
        <v>OK</v>
      </c>
      <c r="C46" s="491" t="s">
        <v>2521</v>
      </c>
      <c r="D46" s="491"/>
      <c r="E46" s="491"/>
      <c r="F46" s="491"/>
      <c r="G46" s="491"/>
      <c r="H46" s="491"/>
      <c r="I46" s="491"/>
      <c r="J46" s="491"/>
      <c r="L46" s="190">
        <f t="shared" si="5"/>
        <v>0</v>
      </c>
      <c r="M46" s="190"/>
      <c r="N46" s="190">
        <f>IF(AND(Bilanca!I96&lt;&gt;0,Bilanca!I97&lt;&gt;0),1,0)</f>
        <v>0</v>
      </c>
      <c r="O46" s="190">
        <f>IF(AND(Bilanca!J96&lt;&gt;0,Bilanca!J97&lt;&gt;0),1,0)</f>
        <v>0</v>
      </c>
      <c r="P46" s="190"/>
      <c r="Q46" s="190"/>
    </row>
    <row r="47" spans="1:61" ht="54.95" customHeight="1" x14ac:dyDescent="0.2">
      <c r="A47" s="242">
        <f t="shared" si="6"/>
        <v>35</v>
      </c>
      <c r="B47" s="238" t="str">
        <f>IF(L47=1,"Pogreška", IF(M47=1, "Provjera","OK"))</f>
        <v>OK</v>
      </c>
      <c r="C47" s="491" t="s">
        <v>2214</v>
      </c>
      <c r="D47" s="491"/>
      <c r="E47" s="491"/>
      <c r="F47" s="491"/>
      <c r="G47" s="491"/>
      <c r="H47" s="491"/>
      <c r="I47" s="491"/>
      <c r="J47" s="491"/>
      <c r="L47" s="190">
        <f>MAX(N47:V47)</f>
        <v>0</v>
      </c>
      <c r="M47" s="190"/>
      <c r="N47" s="190">
        <f>IF(AND($S$6&lt;&gt;"DA", ABS(Bilanca!I96-RDG!I67)&gt;1,MIN(RDG!I70:I83)=0,MAX(RDG!I70:I83)=0),1,0)</f>
        <v>0</v>
      </c>
      <c r="O47" s="190">
        <f>IF(AND($S$6&lt;&gt;"DA", ABS(Bilanca!J96-RDG!J67)&gt;1,MIN(RDG!J70:J83)=0,MAX(RDG!J70:J83)=0),1,0)</f>
        <v>0</v>
      </c>
      <c r="P47" s="190">
        <f>IF(AND($S$6&lt;&gt;"DA", ABS(Bilanca!I97-RDG!I68)&gt;1,MIN(RDG!I70:I83)=0,MAX(RDG!I70:I83)=0),1,0)</f>
        <v>0</v>
      </c>
      <c r="Q47" s="190">
        <f>IF(AND($S$6&lt;&gt;"DA", ABS(Bilanca!J97-RDG!J68)&gt;1,MIN(RDG!J70:J83)=0,MAX(RDG!J70:J83)=0),1,0)</f>
        <v>0</v>
      </c>
      <c r="R47" s="193">
        <f>IF(AND($S$6&lt;&gt;"DA", ABS(Bilanca!I96-RDG!I82)&gt;1,OR(MIN(RDG!I70:I83)&lt;&gt;0,MAX(RDG!I70:I83)&lt;&gt;0),$AA$4="MSFI"),1,0)</f>
        <v>0</v>
      </c>
      <c r="S47" s="193">
        <f>IF(AND($S$6&lt;&gt;"DA", ABS(Bilanca!J96-RDG!J82)&gt;1,OR(MIN(RDG!J70:J83)&lt;&gt;0,MAX(RDG!J70:J83)&lt;&gt;0),$AA$4="MSFI"),1,0)</f>
        <v>0</v>
      </c>
      <c r="T47" s="193">
        <f>IF(AND($S$6&lt;&gt;"DA", ABS(Bilanca!K96-RDG!K82)&gt;1,OR(MIN(RDG!K70:K83)&lt;&gt;0,MAX(RDG!K70:K83)&lt;&gt;0),$AA$4="MSFI"),1,0)</f>
        <v>0</v>
      </c>
      <c r="U47" s="193">
        <f>IF(AND($S$6&lt;&gt;"DA", ABS(Bilanca!J97-RDG!J83)&gt;1,OR(MIN(RDG!J70:J83)&lt;&gt;0,MAX(RDG!J70:J83)&lt;&gt;0),$AA$4="MSFI"),1,0)</f>
        <v>0</v>
      </c>
      <c r="V47" s="193">
        <f>IF(AND($S$6&lt;&gt;"DA", ABS(Bilanca!K97-RDG!K83)&gt;1,OR(MIN(RDG!K70:K83)&lt;&gt;0,MAX(RDG!K70:K83)&lt;&gt;0),$AA$4="MSFI"),1,0)</f>
        <v>0</v>
      </c>
    </row>
    <row r="48" spans="1:61" ht="45" customHeight="1" x14ac:dyDescent="0.2">
      <c r="A48" s="242">
        <f t="shared" si="6"/>
        <v>36</v>
      </c>
      <c r="B48" s="238" t="str">
        <f t="shared" ref="B48:B56" si="7">IF(L48=1,"Pogreška", IF(M48=1, "Provjera","OK"))</f>
        <v>OK</v>
      </c>
      <c r="C48" s="491" t="s">
        <v>699</v>
      </c>
      <c r="D48" s="491"/>
      <c r="E48" s="491"/>
      <c r="F48" s="491"/>
      <c r="G48" s="491"/>
      <c r="H48" s="491"/>
      <c r="I48" s="491"/>
      <c r="J48" s="491"/>
      <c r="L48" s="190">
        <f t="shared" si="5"/>
        <v>0</v>
      </c>
      <c r="M48" s="190"/>
      <c r="N48" s="190">
        <f>IF(AND(OR(RefStr!$C$7=4,RefStr!$C$7=5,RefStr!$C$7=6),P8&gt;0,Bilanca!I77=0),1,0)</f>
        <v>0</v>
      </c>
      <c r="O48" s="190">
        <f>IF(AND(OR(RefStr!$C$7=4,RefStr!$C$7=5,RefStr!$C$7=6),Q8&gt;0,Bilanca!J77=0),1,0)</f>
        <v>0</v>
      </c>
      <c r="P48" s="190"/>
    </row>
    <row r="49" spans="1:41" ht="45" customHeight="1" x14ac:dyDescent="0.2">
      <c r="A49" s="242">
        <f t="shared" si="6"/>
        <v>37</v>
      </c>
      <c r="B49" s="238" t="str">
        <f t="shared" si="7"/>
        <v>OK</v>
      </c>
      <c r="C49" s="491" t="s">
        <v>698</v>
      </c>
      <c r="D49" s="491"/>
      <c r="E49" s="491"/>
      <c r="F49" s="491"/>
      <c r="G49" s="491"/>
      <c r="H49" s="491"/>
      <c r="I49" s="491"/>
      <c r="J49" s="491"/>
      <c r="L49" s="190">
        <f t="shared" si="5"/>
        <v>0</v>
      </c>
      <c r="M49" s="190">
        <f>MAX(S49:V49)</f>
        <v>0</v>
      </c>
      <c r="N49" s="190">
        <f>IF(AND(S6="NE",OR(Bilanca!I98&lt;&gt;0,Bilanca!J98&lt;&gt;0)),1,0)</f>
        <v>0</v>
      </c>
      <c r="O49" s="190"/>
      <c r="P49" s="190"/>
      <c r="S49" s="193">
        <f>IF(AND(S6="DA",AND(Bilanca!I98=0,P8&gt;0)),1,0)</f>
        <v>0</v>
      </c>
      <c r="T49" s="193">
        <f>IF(AND(S6="DA",AND(Bilanca!J98=0,Q8&gt;0)),1,0)</f>
        <v>0</v>
      </c>
    </row>
    <row r="50" spans="1:41" ht="57.75" customHeight="1" x14ac:dyDescent="0.2">
      <c r="A50" s="242">
        <f t="shared" si="6"/>
        <v>38</v>
      </c>
      <c r="B50" s="238" t="str">
        <f t="shared" si="7"/>
        <v>OK</v>
      </c>
      <c r="C50" s="491" t="str">
        <f>"Oznaka veličine može biti: 1-mikro, 2-mali, 3-srednji i 4-veliki. Ova kontrola javlja pogrešku ako se izračunata i upisana veličina ne slažu. "&amp;"Uvjeti veličine za konsolidirane grupe su isti kao za pojedinačne izvještaje, razlika je samo u tome da konsolidirana grupa po definiciji ne može imati veličinu mikro."&amp;" Ako izračunata veličina nije jednaka upisanoj ili oznaka veličine nije upisana u opće podatke ova kontrola javlja pogrešku. Prema upisanim podacima, izračunata veličina je "&amp;N50&amp;IF(OR(S3="",S3=""),", ali u opće podatke veličina nije ni upisana.",", a upisana veličina je "&amp;S3 &amp; ".")</f>
        <v>Oznaka veličine može biti: 1-mikro, 2-mali, 3-srednji i 4-veliki. Ova kontrola javlja pogrešku ako se izračunata i upisana veličina ne slažu. Uvjeti veličine za konsolidirane grupe su isti kao za pojedinačne izvještaje, razlika je samo u tome da konsolidirana grupa po definiciji ne može imati veličinu mikro. Ako izračunata veličina nije jednaka upisanoj ili oznaka veličine nije upisana u opće podatke ova kontrola javlja pogrešku. Prema upisanim podacima, izračunata veličina je 2, a upisana veličina je 2.</v>
      </c>
      <c r="D50" s="491"/>
      <c r="E50" s="491"/>
      <c r="F50" s="491"/>
      <c r="G50" s="491"/>
      <c r="H50" s="491"/>
      <c r="I50" s="491"/>
      <c r="J50" s="491"/>
      <c r="L50" s="190">
        <f>IF(N50&lt;&gt;S3,1,0)</f>
        <v>0</v>
      </c>
      <c r="M50" s="190"/>
      <c r="N50" s="190">
        <f>IF(P8&gt;0,O50,AC50)</f>
        <v>2</v>
      </c>
      <c r="O50" s="194">
        <f>IF(SUM(Y50:AA50)&gt;1,4,IF(SUM(U50:W50)&gt;1,3,IF(SUM(Q50:S50)&gt;1,2,IF(S6="DA",2,1))))</f>
        <v>2</v>
      </c>
      <c r="P50" s="197" t="s">
        <v>1794</v>
      </c>
      <c r="Q50" s="197">
        <f>IF(Bilanca!I73&gt;2600000,1,0)</f>
        <v>1</v>
      </c>
      <c r="R50" s="196">
        <f>IF(RDG!I60&gt;5200000,1,0)</f>
        <v>1</v>
      </c>
      <c r="S50" s="196">
        <f>IF(P10&gt;10,1,0)</f>
        <v>1</v>
      </c>
      <c r="T50" s="196" t="s">
        <v>2256</v>
      </c>
      <c r="U50" s="196">
        <f>IF(Bilanca!I73&gt;30000000,1,0)</f>
        <v>0</v>
      </c>
      <c r="V50" s="196">
        <f>IF(RDG!I60&gt;60000000,1,0)</f>
        <v>0</v>
      </c>
      <c r="W50" s="196">
        <f>IF(P10&gt;50,1,0)</f>
        <v>1</v>
      </c>
      <c r="X50" s="196" t="s">
        <v>2257</v>
      </c>
      <c r="Y50" s="196">
        <f>IF(Bilanca!I73&gt;150000000,1,0)</f>
        <v>0</v>
      </c>
      <c r="Z50" s="196">
        <f>IF(RDG!I60&gt;300000000,1,0)</f>
        <v>0</v>
      </c>
      <c r="AA50" s="196">
        <f>IF(P10&gt;250,1,0)</f>
        <v>0</v>
      </c>
      <c r="AC50" s="194">
        <f>IF(SUM(AM50:AO50)&gt;1,4,IF(SUM(AI50:AK50)&gt;1,3,IF(SUM(AE50:AG50)&gt;1,2,IF(S6="DA",2,1))))</f>
        <v>2</v>
      </c>
      <c r="AD50" s="197" t="s">
        <v>1794</v>
      </c>
      <c r="AE50" s="197">
        <f>IF(Bilanca!J73&gt;2600000,1,0)</f>
        <v>1</v>
      </c>
      <c r="AF50" s="196">
        <f>IF(S9&gt;S8,IF(RDG!J60*365/(S9-S8)&gt;5200000,1,0),0)</f>
        <v>1</v>
      </c>
      <c r="AG50" s="196">
        <f>IF(Q10&gt;10,1,0)</f>
        <v>1</v>
      </c>
      <c r="AH50" s="196" t="s">
        <v>2256</v>
      </c>
      <c r="AI50" s="196">
        <f>IF(Bilanca!J73&gt;30000000,1,0)</f>
        <v>0</v>
      </c>
      <c r="AJ50" s="196">
        <f>IF(S9&gt;S8,IF(RDG!J60*365/(S9-S8)&gt;60000000,1,0),0)</f>
        <v>0</v>
      </c>
      <c r="AK50" s="196">
        <f>IF(Q10&gt;50,1,0)</f>
        <v>1</v>
      </c>
      <c r="AL50" s="196" t="s">
        <v>2257</v>
      </c>
      <c r="AM50" s="196">
        <f>IF(Bilanca!J73&gt;150000000,1,0)</f>
        <v>0</v>
      </c>
      <c r="AN50" s="196">
        <f>IF(S9&gt;S8,IF(RDG!J60*365/(S9-S8)&gt;300000000,1,0),0)</f>
        <v>0</v>
      </c>
      <c r="AO50" s="196">
        <f>IF(Q10&gt;250,1,0)</f>
        <v>0</v>
      </c>
    </row>
    <row r="51" spans="1:41" ht="45" customHeight="1" x14ac:dyDescent="0.2">
      <c r="A51" s="242">
        <f t="shared" si="6"/>
        <v>39</v>
      </c>
      <c r="B51" s="238" t="str">
        <f t="shared" si="7"/>
        <v>OK</v>
      </c>
      <c r="C51" s="491" t="s">
        <v>106</v>
      </c>
      <c r="D51" s="491"/>
      <c r="E51" s="491"/>
      <c r="F51" s="491"/>
      <c r="G51" s="491"/>
      <c r="H51" s="491"/>
      <c r="I51" s="491"/>
      <c r="J51" s="491"/>
      <c r="L51" s="190">
        <f>MAX(N51:R51)</f>
        <v>0</v>
      </c>
      <c r="M51" s="190"/>
      <c r="N51" s="190">
        <f>IF(AND(P8&gt;0,P3=0,O8&lt;&gt;"DA"),1,0)</f>
        <v>0</v>
      </c>
      <c r="O51" s="190">
        <f>IF(AND(Q8&gt;0,Q3=0,O8&lt;&gt;"DA"),1,0)</f>
        <v>0</v>
      </c>
      <c r="P51" s="190">
        <f>IF(AND(P8&gt;0,P4=0,O8&lt;&gt;"DA",S5&lt;&gt;2),1,0)</f>
        <v>0</v>
      </c>
      <c r="Q51" s="193">
        <f>IF(AND(Q8&gt;0,Q4=0,O8&lt;&gt;"DA",S5&lt;&gt;2),1,0)</f>
        <v>0</v>
      </c>
      <c r="R51" s="193">
        <f>IF(AND(O8="DA", OR(Q3&gt;0,Q4&gt;0)),1,0)</f>
        <v>0</v>
      </c>
    </row>
    <row r="52" spans="1:41" ht="50.1" customHeight="1" x14ac:dyDescent="0.2">
      <c r="A52" s="242">
        <f t="shared" si="6"/>
        <v>40</v>
      </c>
      <c r="B52" s="238" t="str">
        <f t="shared" si="7"/>
        <v>OK</v>
      </c>
      <c r="C52" s="491" t="s">
        <v>107</v>
      </c>
      <c r="D52" s="491"/>
      <c r="E52" s="491"/>
      <c r="F52" s="491"/>
      <c r="G52" s="491"/>
      <c r="H52" s="491"/>
      <c r="I52" s="491"/>
      <c r="J52" s="491"/>
      <c r="L52" s="190">
        <f>MAX(N52:R52)</f>
        <v>0</v>
      </c>
      <c r="M52" s="190"/>
      <c r="N52" s="190">
        <f>IF(AND(S5&gt;1,S3&gt;2,OR(S2=10,S2=11),U2&lt;&gt;"DA"),1,0)</f>
        <v>0</v>
      </c>
      <c r="O52" s="190">
        <f>IF(AND(S5&gt;1,Z52&gt;0,OR(S2=10,S2=11),U2&lt;&gt;"DA"),1,0)</f>
        <v>0</v>
      </c>
      <c r="P52" s="193">
        <f>IF(AND(S5=1,U2="DA"),1,0)</f>
        <v>0</v>
      </c>
      <c r="Z52" s="193">
        <f>IF(AND(OR(U7=2,U7=4,U7=5),SUM(AA52:AC52)&gt;1),1,0)</f>
        <v>0</v>
      </c>
      <c r="AA52" s="217">
        <f>IF(Bilanca!I73&gt;15000000,1,0)</f>
        <v>0</v>
      </c>
      <c r="AB52" s="217">
        <f>IF(RDG!I60&gt;30000000,1,0)</f>
        <v>0</v>
      </c>
      <c r="AC52" s="217">
        <f>IF(P10&gt;25,1,0)</f>
        <v>1</v>
      </c>
    </row>
    <row r="53" spans="1:41" ht="30" customHeight="1" x14ac:dyDescent="0.2">
      <c r="A53" s="242">
        <f t="shared" si="6"/>
        <v>41</v>
      </c>
      <c r="B53" s="238" t="str">
        <f t="shared" si="7"/>
        <v>OK</v>
      </c>
      <c r="C53" s="491" t="s">
        <v>330</v>
      </c>
      <c r="D53" s="491"/>
      <c r="E53" s="491"/>
      <c r="F53" s="491"/>
      <c r="G53" s="491"/>
      <c r="H53" s="491"/>
      <c r="I53" s="491"/>
      <c r="J53" s="491"/>
      <c r="L53" s="190">
        <f>MAX(N53:R53)</f>
        <v>0</v>
      </c>
      <c r="M53" s="190"/>
      <c r="N53" s="190">
        <f>IF(AND(S6="DA",AND(S2&lt;&gt;10,S2&lt;&gt;11,S2&lt;&gt;20,S2&lt;&gt;30)),1,0)</f>
        <v>0</v>
      </c>
      <c r="O53" s="190">
        <f>IF(AND(S5&lt;&gt;2,S6="DA"),1,0)</f>
        <v>0</v>
      </c>
    </row>
    <row r="54" spans="1:41" ht="30" customHeight="1" x14ac:dyDescent="0.2">
      <c r="A54" s="242">
        <f t="shared" si="6"/>
        <v>42</v>
      </c>
      <c r="B54" s="238" t="str">
        <f t="shared" si="7"/>
        <v>OK</v>
      </c>
      <c r="C54" s="491" t="s">
        <v>700</v>
      </c>
      <c r="D54" s="491"/>
      <c r="E54" s="491"/>
      <c r="F54" s="491"/>
      <c r="G54" s="491"/>
      <c r="H54" s="491"/>
      <c r="I54" s="491"/>
      <c r="J54" s="491"/>
      <c r="L54" s="190">
        <f>MAX(N54:R54)</f>
        <v>0</v>
      </c>
      <c r="M54" s="190"/>
      <c r="N54" s="190">
        <f>IF(AND(S7=1,MAX(RDG!J9,RDG!J12,RDG!J38,RDG!J40:J42,RDG!J49:J50)&gt;0),1,0)</f>
        <v>0</v>
      </c>
      <c r="O54" s="190">
        <f>IF(AND(S7=1,MIN(RDG!J9,RDG!J12,RDG!J38,RDG!J40:J42,RDG!J49:J50)&lt;0),1,0)</f>
        <v>0</v>
      </c>
    </row>
    <row r="55" spans="1:41" ht="30" customHeight="1" x14ac:dyDescent="0.2">
      <c r="A55" s="242">
        <f t="shared" si="6"/>
        <v>43</v>
      </c>
      <c r="B55" s="238" t="str">
        <f t="shared" si="7"/>
        <v>OK</v>
      </c>
      <c r="C55" s="491" t="s">
        <v>701</v>
      </c>
      <c r="D55" s="491"/>
      <c r="E55" s="491"/>
      <c r="F55" s="491"/>
      <c r="G55" s="491"/>
      <c r="H55" s="491"/>
      <c r="I55" s="491"/>
      <c r="J55" s="491"/>
      <c r="L55" s="190">
        <f>MAX(N55:P55)</f>
        <v>0</v>
      </c>
      <c r="M55" s="190"/>
      <c r="N55" s="193">
        <f>IF(AND(S7=1,MAX(Dodatni!J23,Dodatni!J27,Dodatni!J49,Dodatni!J86)&gt;0),1,0)</f>
        <v>0</v>
      </c>
      <c r="O55" s="193">
        <f>IF(AND(S7=1,MAX(Dodatni!J23,Dodatni!J27,Dodatni!J49,Dodatni!J86)&gt;0),1,0)</f>
        <v>0</v>
      </c>
    </row>
    <row r="56" spans="1:41" ht="30" customHeight="1" x14ac:dyDescent="0.2">
      <c r="A56" s="242">
        <f t="shared" si="6"/>
        <v>44</v>
      </c>
      <c r="B56" s="238" t="str">
        <f t="shared" si="7"/>
        <v>OK</v>
      </c>
      <c r="C56" s="491" t="s">
        <v>1119</v>
      </c>
      <c r="D56" s="491"/>
      <c r="E56" s="491"/>
      <c r="F56" s="491"/>
      <c r="G56" s="491"/>
      <c r="H56" s="491"/>
      <c r="I56" s="491"/>
      <c r="J56" s="491"/>
      <c r="L56" s="195">
        <f>MAX(N56:O56)</f>
        <v>0</v>
      </c>
      <c r="M56" s="195">
        <f>MAX(P56)</f>
        <v>0</v>
      </c>
      <c r="N56" s="195">
        <f>IF(AND(S6&lt;&gt;"DA",OR(P9&gt;30000,Q9&gt;30000,P10&gt;30000,Q10&gt;30000)),1,0)</f>
        <v>0</v>
      </c>
      <c r="O56" s="190">
        <f>IF(AND(S6="DA",OR(P9&gt;65000,Q9&gt;65000,P10&gt;65000,Q10&gt;65000)),1,0)</f>
        <v>0</v>
      </c>
      <c r="P56" s="190">
        <f>IF(OR(P9&gt;1000,Q9&gt;1000,P10&gt;1000,Q10&gt;1000),1,0)</f>
        <v>0</v>
      </c>
    </row>
    <row r="57" spans="1:41" ht="32.25" customHeight="1" x14ac:dyDescent="0.2">
      <c r="A57" s="242">
        <f>A56+1</f>
        <v>45</v>
      </c>
      <c r="B57" s="238" t="str">
        <f t="shared" ref="B57:B69" si="8">IF(L57=1,"Pogreška", IF(M57=1, "Provjera","OK"))</f>
        <v>OK</v>
      </c>
      <c r="C57" s="491" t="s">
        <v>2523</v>
      </c>
      <c r="D57" s="491"/>
      <c r="E57" s="491"/>
      <c r="F57" s="491"/>
      <c r="G57" s="491"/>
      <c r="H57" s="491"/>
      <c r="I57" s="491"/>
      <c r="J57" s="491"/>
      <c r="L57" s="195">
        <f t="shared" ref="L57:L65" si="9">MAX(N57:Q57)</f>
        <v>0</v>
      </c>
      <c r="M57" s="190"/>
      <c r="N57" s="191">
        <f>IF(MIN(Bilanca!I9:J74,Bilanca!I77:J77,Bilanca!I80:J84,Bilanca!I93:J94,Bilanca!I96:J97,Bilanca!I99:J135)&lt;0,1,0)</f>
        <v>0</v>
      </c>
      <c r="O57" s="190"/>
      <c r="P57" s="190"/>
    </row>
    <row r="58" spans="1:41" ht="30" customHeight="1" x14ac:dyDescent="0.2">
      <c r="A58" s="242">
        <f t="shared" si="6"/>
        <v>46</v>
      </c>
      <c r="B58" s="238" t="str">
        <f t="shared" si="8"/>
        <v>OK</v>
      </c>
      <c r="C58" s="491" t="s">
        <v>2524</v>
      </c>
      <c r="D58" s="491"/>
      <c r="E58" s="491"/>
      <c r="F58" s="491"/>
      <c r="G58" s="491"/>
      <c r="H58" s="491"/>
      <c r="I58" s="491"/>
      <c r="J58" s="491"/>
      <c r="L58" s="195">
        <f t="shared" si="9"/>
        <v>0</v>
      </c>
      <c r="M58" s="190"/>
      <c r="N58" s="191">
        <f>IF(MIN(RDG!I8:J14,RDG!I16:J25,RDG!I36:J53,RDG!I55:J61,RDG!I63:J64,RDG!I67:J68,RDG!I71:J72,RDG!I74:J75,RDG!I78:J79,RDG!I82:J83)&lt;0,1,0)</f>
        <v>0</v>
      </c>
      <c r="O58" s="190"/>
      <c r="P58" s="190"/>
    </row>
    <row r="59" spans="1:41" ht="30" customHeight="1" x14ac:dyDescent="0.2">
      <c r="A59" s="242">
        <f t="shared" ref="A59:A64" si="10">A58+1</f>
        <v>47</v>
      </c>
      <c r="B59" s="238" t="str">
        <f t="shared" ref="B59:B64" si="11">IF(L59=1,"Pogreška", IF(M59=1, "Provjera","OK"))</f>
        <v>OK</v>
      </c>
      <c r="C59" s="491" t="s">
        <v>1104</v>
      </c>
      <c r="D59" s="491"/>
      <c r="E59" s="491"/>
      <c r="F59" s="491"/>
      <c r="G59" s="491"/>
      <c r="H59" s="491"/>
      <c r="I59" s="491"/>
      <c r="J59" s="491"/>
      <c r="L59" s="195">
        <f>MAX(N59:Q59)</f>
        <v>0</v>
      </c>
      <c r="M59" s="190"/>
      <c r="N59" s="191">
        <f>IF(MIN(NT_I!I11:J11,NT_I!I15:J15,NT_I!I30:J36,NT_I!I59:J60)&lt;0,1,0)</f>
        <v>0</v>
      </c>
      <c r="O59" s="190"/>
      <c r="P59" s="190"/>
    </row>
    <row r="60" spans="1:41" ht="30" customHeight="1" x14ac:dyDescent="0.2">
      <c r="A60" s="242">
        <f t="shared" si="10"/>
        <v>48</v>
      </c>
      <c r="B60" s="238" t="str">
        <f t="shared" si="11"/>
        <v>OK</v>
      </c>
      <c r="C60" s="491" t="s">
        <v>2526</v>
      </c>
      <c r="D60" s="491"/>
      <c r="E60" s="491"/>
      <c r="F60" s="491"/>
      <c r="G60" s="491"/>
      <c r="H60" s="491"/>
      <c r="I60" s="491"/>
      <c r="J60" s="491"/>
      <c r="L60" s="195">
        <f>MAX(N60:Q60)</f>
        <v>0</v>
      </c>
      <c r="M60" s="190"/>
      <c r="N60" s="191">
        <f>IF(MAX(NT_I!I14:J14,NT_I!I26:J26,NT_I!I37:J39,NT_I!I41:J41,NT_I!I50:J55)&gt;0,1,0)</f>
        <v>0</v>
      </c>
      <c r="O60" s="190"/>
      <c r="P60" s="190"/>
    </row>
    <row r="61" spans="1:41" ht="30" customHeight="1" x14ac:dyDescent="0.2">
      <c r="A61" s="242">
        <f>A60+1</f>
        <v>49</v>
      </c>
      <c r="B61" s="238" t="str">
        <f>IF(L61=1,"Pogreška", IF(M61=1, "Provjera","OK"))</f>
        <v>OK</v>
      </c>
      <c r="C61" s="491" t="s">
        <v>2527</v>
      </c>
      <c r="D61" s="491"/>
      <c r="E61" s="491"/>
      <c r="F61" s="491"/>
      <c r="G61" s="491"/>
      <c r="H61" s="491"/>
      <c r="I61" s="491"/>
      <c r="J61" s="491"/>
      <c r="L61" s="195">
        <f>MAX(N61:Q61)</f>
        <v>0</v>
      </c>
      <c r="M61" s="190"/>
      <c r="N61" s="191">
        <f>IF(MIN(NT_D!I9:J14,NT_D!I24:J30,NT_D!I39:J43,NT_D!I53:J54)&lt;0,1,0)</f>
        <v>0</v>
      </c>
      <c r="O61" s="190"/>
      <c r="P61" s="190"/>
    </row>
    <row r="62" spans="1:41" ht="30" customHeight="1" x14ac:dyDescent="0.2">
      <c r="A62" s="242">
        <f>A61+1</f>
        <v>50</v>
      </c>
      <c r="B62" s="238" t="str">
        <f>IF(L62=1,"Pogreška", IF(M62=1, "Provjera","OK"))</f>
        <v>OK</v>
      </c>
      <c r="C62" s="491" t="s">
        <v>2528</v>
      </c>
      <c r="D62" s="491"/>
      <c r="E62" s="491"/>
      <c r="F62" s="491"/>
      <c r="G62" s="491"/>
      <c r="H62" s="491"/>
      <c r="I62" s="491"/>
      <c r="J62" s="491"/>
      <c r="L62" s="195">
        <f>MAX(N62:Q62)</f>
        <v>0</v>
      </c>
      <c r="M62" s="190"/>
      <c r="N62" s="191">
        <f>IF(MAX(NT_D!I15:J21,NT_D!I31:J33,NT_D!I35:J36,NT_D!I44:J49)&gt;0,1,0)</f>
        <v>0</v>
      </c>
      <c r="O62" s="190"/>
      <c r="P62" s="190"/>
    </row>
    <row r="63" spans="1:41" ht="44.25" customHeight="1" x14ac:dyDescent="0.2">
      <c r="A63" s="242">
        <f>A62+1</f>
        <v>51</v>
      </c>
      <c r="B63" s="238" t="str">
        <f>IF(L63=1,"Pogreška", IF(M63=1, "Provjera","OK"))</f>
        <v>OK</v>
      </c>
      <c r="C63" s="491" t="s">
        <v>1733</v>
      </c>
      <c r="D63" s="491"/>
      <c r="E63" s="491"/>
      <c r="F63" s="491"/>
      <c r="G63" s="491"/>
      <c r="H63" s="491"/>
      <c r="I63" s="491"/>
      <c r="J63" s="491"/>
      <c r="L63" s="195">
        <f>MAX(N63:Q63)</f>
        <v>0</v>
      </c>
      <c r="M63" s="190"/>
      <c r="N63" s="191">
        <f>IF(AND($S$6="DA",ABS(RDG!I66-RDG!I85)&gt;1,AND(MIN(RDG!I70:I75)=0,MAX(RDG!I70:I75)=0)),1,0)</f>
        <v>0</v>
      </c>
      <c r="O63" s="191">
        <f>IF(AND($S$6="DA",ABS(RDG!J66-RDG!J85)&gt;1,AND(MIN(RDG!J70:J75)=0,MAX(RDG!J70:J75)=0)),1,0)</f>
        <v>0</v>
      </c>
      <c r="P63" s="190">
        <f>IF(AND($S$6="DA",ABS(RDG!I81-RDG!I85)&gt;1,OR(MIN(RDG!I70:I75)&lt;&gt;0,MAX(RDG!I70:I75)&lt;&gt;0),$AA$4="MSFI"),1,0)</f>
        <v>0</v>
      </c>
      <c r="Q63" s="190">
        <f>IF(AND($S$6="DA",ABS(RDG!J81-RDG!J85)&gt;1,OR(MIN(RDG!J70:J75)&lt;&gt;0,MAX(RDG!J70:J75)&lt;&gt;0),$AA$4="MSFI"),1,0)</f>
        <v>0</v>
      </c>
    </row>
    <row r="64" spans="1:41" ht="42" customHeight="1" x14ac:dyDescent="0.2">
      <c r="A64" s="242">
        <f t="shared" si="10"/>
        <v>52</v>
      </c>
      <c r="B64" s="238" t="str">
        <f t="shared" si="11"/>
        <v>OK</v>
      </c>
      <c r="C64" s="491" t="s">
        <v>1734</v>
      </c>
      <c r="D64" s="491"/>
      <c r="E64" s="491"/>
      <c r="F64" s="491"/>
      <c r="G64" s="491"/>
      <c r="H64" s="491"/>
      <c r="I64" s="491"/>
      <c r="J64" s="491"/>
      <c r="L64" s="195">
        <f t="shared" si="9"/>
        <v>0</v>
      </c>
      <c r="M64" s="190"/>
      <c r="N64" s="191">
        <f>IF(AND($AA$4="MSFI",ABS(RDG!I89-RDG!I66)&gt;1,AND(MIN(RDG!I70:I75)=0,MAX(RDG!I70:I75)=0)),1,0)</f>
        <v>0</v>
      </c>
      <c r="O64" s="191">
        <f>IF(AND($AA$4="MSFI",ABS(RDG!J89-RDG!J66)&gt;1,AND(MIN(RDG!J70:J75)=0,MAX(RDG!J70:J75)=0)),1,0)</f>
        <v>0</v>
      </c>
      <c r="P64" s="190">
        <f>IF(AND($AA$4="MSFI",ABS(RDG!I89-RDG!I81)&gt;1,OR(MIN(RDG!I70:I75)&lt;&gt;0,MAX(RDG!I70:I75)&lt;&gt;0)),1,0)</f>
        <v>0</v>
      </c>
      <c r="Q64" s="190">
        <f>IF(AND($AA$4="MSFI",ABS(RDG!J89-RDG!J81)&gt;1,OR(MIN(RDG!J70:J75)&lt;&gt;0,MAX(RDG!J70:J75)&lt;&gt;0)),1,0)</f>
        <v>0</v>
      </c>
    </row>
    <row r="65" spans="1:30" ht="30" customHeight="1" x14ac:dyDescent="0.2">
      <c r="A65" s="242">
        <f t="shared" si="6"/>
        <v>53</v>
      </c>
      <c r="B65" s="238" t="str">
        <f t="shared" si="8"/>
        <v>OK</v>
      </c>
      <c r="C65" s="491" t="s">
        <v>2529</v>
      </c>
      <c r="D65" s="491"/>
      <c r="E65" s="491"/>
      <c r="F65" s="491"/>
      <c r="G65" s="491"/>
      <c r="H65" s="491"/>
      <c r="I65" s="491"/>
      <c r="J65" s="491"/>
      <c r="L65" s="195">
        <f t="shared" si="9"/>
        <v>0</v>
      </c>
      <c r="M65" s="190"/>
      <c r="N65" s="191">
        <f>IF(AND(AA4="MSFI",S6="DA",ABS(RDG!I109-RDG!I111)&gt;1),1,0)</f>
        <v>0</v>
      </c>
      <c r="O65" s="191">
        <f>IF(AND(AA4="MSFI",S6="DA",ABS(RDG!J109-RDG!J111)&gt;1),1,0)</f>
        <v>0</v>
      </c>
      <c r="P65" s="190"/>
    </row>
    <row r="66" spans="1:30" ht="30" customHeight="1" x14ac:dyDescent="0.2">
      <c r="A66" s="242">
        <f t="shared" si="6"/>
        <v>54</v>
      </c>
      <c r="B66" s="238" t="str">
        <f t="shared" si="8"/>
        <v>OK</v>
      </c>
      <c r="C66" s="491" t="s">
        <v>2530</v>
      </c>
      <c r="D66" s="491"/>
      <c r="E66" s="491"/>
      <c r="F66" s="491"/>
      <c r="G66" s="491"/>
      <c r="H66" s="491"/>
      <c r="I66" s="491"/>
      <c r="J66" s="491"/>
      <c r="L66" s="195">
        <f>MAX(N66:U66)</f>
        <v>0</v>
      </c>
      <c r="M66" s="190"/>
      <c r="N66" s="191">
        <f>IF(AND(S6="DA",P8&gt;0,RDG!I85=0),1,0)</f>
        <v>0</v>
      </c>
      <c r="O66" s="191">
        <f>IF(AND(S6="DA",Q8&gt;0,RDG!J85=0),1,0)</f>
        <v>0</v>
      </c>
      <c r="P66" s="190">
        <f>IF(AND(S6="DA",P8&gt;0,AA4="MSFI",RDG!I111=0),1,0)</f>
        <v>0</v>
      </c>
      <c r="Q66" s="193">
        <f>IF(AND(S6="DA",Q8&gt;0,AA4="MSFI",RDG!J111=0),1,0)</f>
        <v>0</v>
      </c>
      <c r="R66" s="193">
        <f>IF(AND(S6="DA",P8&gt;0,AA4="HSFI",RDG!I111&lt;&gt;0),1,0)</f>
        <v>0</v>
      </c>
      <c r="S66" s="193">
        <f>IF(AND(S6="DA",Q8&gt;0,AA4="HSFI",RDG!J111&lt;&gt;0),1,0)</f>
        <v>0</v>
      </c>
      <c r="T66" s="193">
        <f>IF(AND(S6="NE",MIN(RDG!I85:J85,RDG!I111:J111)&lt;&gt;0),1,0)</f>
        <v>0</v>
      </c>
      <c r="U66" s="193">
        <f>IF(AND(S6="NE",MAX(RDG!I85:J85,RDG!I111:J111)&lt;&gt;0),1,0)</f>
        <v>0</v>
      </c>
    </row>
    <row r="67" spans="1:30" ht="30" customHeight="1" x14ac:dyDescent="0.2">
      <c r="A67" s="242">
        <f t="shared" si="6"/>
        <v>55</v>
      </c>
      <c r="B67" s="238" t="str">
        <f t="shared" si="8"/>
        <v>OK</v>
      </c>
      <c r="C67" s="491" t="s">
        <v>2416</v>
      </c>
      <c r="D67" s="491"/>
      <c r="E67" s="491"/>
      <c r="F67" s="491"/>
      <c r="G67" s="491"/>
      <c r="H67" s="491"/>
      <c r="I67" s="491"/>
      <c r="J67" s="491"/>
      <c r="L67" s="195">
        <f>MAX(N67:Q67)</f>
        <v>0</v>
      </c>
      <c r="M67" s="190"/>
      <c r="N67" s="191">
        <f>IF(AND(P8&gt;0,AND(MIN(RDG!I89:I109)=0,MAX(RDG!I89:I109)=0),AA4="MSFI"),1,0)</f>
        <v>0</v>
      </c>
      <c r="O67" s="191">
        <f>IF(AND(Q8&gt;0,AND(MIN(RDG!J89:J109)=0,MAX(RDG!J89:J109)=0,Q3&gt;0),AA4="MSFI"),1,0)</f>
        <v>0</v>
      </c>
      <c r="P67" s="190">
        <f>IF(AND(P8&gt;0,OR(MIN(RDG!I89:I109)&lt;&gt;0,MAX(RDG!I89:I109)&lt;&gt;0),AA4&lt;&gt;"MSFI"),1,0)</f>
        <v>0</v>
      </c>
      <c r="Q67" s="193">
        <f>IF(AND(Q8&gt;0,OR(MIN(RDG!J89:J109)&lt;&gt;0,MAX(RDG!J89:J109)&lt;&gt;0),AA4&lt;&gt;"MSFI"),1,0)</f>
        <v>0</v>
      </c>
    </row>
    <row r="68" spans="1:30" ht="32.25" customHeight="1" x14ac:dyDescent="0.2">
      <c r="A68" s="242">
        <f t="shared" si="6"/>
        <v>56</v>
      </c>
      <c r="B68" s="238" t="str">
        <f>IF(L68=1,"Pogreška", IF(M68=1, "Provjera","OK"))</f>
        <v>OK</v>
      </c>
      <c r="C68" s="500" t="s">
        <v>2652</v>
      </c>
      <c r="D68" s="501"/>
      <c r="E68" s="501"/>
      <c r="F68" s="501"/>
      <c r="G68" s="501"/>
      <c r="H68" s="501"/>
      <c r="I68" s="501"/>
      <c r="J68" s="502"/>
      <c r="L68" s="195">
        <f>MAX(N68:Q68)</f>
        <v>0</v>
      </c>
      <c r="M68" s="190"/>
      <c r="N68" s="191">
        <f>IF(AND(S3=4,AA4&lt;&gt;"MSFI",S6&lt;&gt;"DA"),1,0)</f>
        <v>0</v>
      </c>
      <c r="O68" s="191"/>
      <c r="P68" s="190"/>
    </row>
    <row r="69" spans="1:30" ht="30" customHeight="1" x14ac:dyDescent="0.2">
      <c r="A69" s="242">
        <f t="shared" si="6"/>
        <v>57</v>
      </c>
      <c r="B69" s="238" t="str">
        <f t="shared" si="8"/>
        <v>OK</v>
      </c>
      <c r="C69" s="491" t="s">
        <v>2417</v>
      </c>
      <c r="D69" s="491"/>
      <c r="E69" s="491"/>
      <c r="F69" s="491"/>
      <c r="G69" s="491"/>
      <c r="H69" s="491"/>
      <c r="I69" s="491"/>
      <c r="J69" s="491"/>
      <c r="L69" s="195">
        <f>MAX(N69:Q69)</f>
        <v>0</v>
      </c>
      <c r="M69" s="190"/>
      <c r="N69" s="191">
        <f>IF(AND(OR(MIN(RDG!I70:J83)&lt;&gt;0,MAX(RDG!I70:J83)&lt;&gt;0),AA4&lt;&gt;"MSFI"),1,0)</f>
        <v>0</v>
      </c>
      <c r="O69" s="191"/>
      <c r="P69" s="190"/>
    </row>
    <row r="70" spans="1:30" ht="39.950000000000003" customHeight="1" x14ac:dyDescent="0.2">
      <c r="A70" s="242">
        <f t="shared" si="6"/>
        <v>58</v>
      </c>
      <c r="B70" s="238" t="str">
        <f>IF(L70=1,"Pogreška", IF(M70=1, "Provjera","OK"))</f>
        <v>OK</v>
      </c>
      <c r="C70" s="491" t="s">
        <v>2531</v>
      </c>
      <c r="D70" s="491"/>
      <c r="E70" s="491"/>
      <c r="F70" s="491"/>
      <c r="G70" s="491"/>
      <c r="H70" s="491"/>
      <c r="I70" s="491"/>
      <c r="J70" s="491"/>
      <c r="L70" s="195">
        <f>MAX(N70:Q70)</f>
        <v>0</v>
      </c>
      <c r="M70" s="190"/>
      <c r="N70" s="191">
        <f>IF(AND(O5&lt;&gt;0,OR(ABS(NT_I!I9-RDG!I62)&gt;1,ABS(NT_I!J9-RDG!J62)&gt;1,ABS(NT_I!I11-RDG!I24)&gt;1,ABS(NT_I!J11-RDG!J24)&gt;1)),1,0)</f>
        <v>0</v>
      </c>
      <c r="O70" s="191"/>
      <c r="P70" s="190"/>
    </row>
    <row r="71" spans="1:30" ht="65.25" customHeight="1" x14ac:dyDescent="0.2">
      <c r="A71" s="242">
        <f t="shared" si="6"/>
        <v>59</v>
      </c>
      <c r="B71" s="238" t="str">
        <f>IF(L71=1,"Pogreška", IF(M71=1, "Provjera","OK"))</f>
        <v>OK</v>
      </c>
      <c r="C71" s="491" t="s">
        <v>921</v>
      </c>
      <c r="D71" s="501"/>
      <c r="E71" s="501"/>
      <c r="F71" s="501"/>
      <c r="G71" s="501"/>
      <c r="H71" s="501"/>
      <c r="I71" s="501"/>
      <c r="J71" s="502"/>
      <c r="L71" s="195">
        <f>MAX(N71:AD71)</f>
        <v>0</v>
      </c>
      <c r="M71" s="190"/>
      <c r="N71" s="191">
        <f>IF(AND($O$7=1,OR(ABS(Bilanca!I76-PK!Z33)&gt;1, ABS(Bilanca!J76-PK!Z62)&gt;1)),1,0)</f>
        <v>0</v>
      </c>
      <c r="O71" s="191">
        <f>IF(AND($O$7=1,OR(ABS(Bilanca!I77-PK!I33)&gt;1, ABS(Bilanca!J77-PK!I62)&gt;1)),1,0)</f>
        <v>0</v>
      </c>
      <c r="P71" s="191">
        <f>IF(AND($O$7=1,OR(ABS(Bilanca!I78-PK!J33)&gt;1, ABS(Bilanca!J78-PK!J62)&gt;1)),1,0)</f>
        <v>0</v>
      </c>
      <c r="Q71" s="191">
        <f>IF(AND($O$7=1,OR(ABS(Bilanca!I80-PK!K33)&gt;1, ABS(Bilanca!J80-PK!K62)&gt;1)),1,0)</f>
        <v>0</v>
      </c>
      <c r="R71" s="191">
        <f>IF(AND($O$7=1,OR(ABS(Bilanca!I81-PK!L33)&gt;1, ABS(Bilanca!J81-PK!L62)&gt;1)),1,0)</f>
        <v>0</v>
      </c>
      <c r="S71" s="191">
        <f>IF(AND($O$7=1,OR(ABS(Bilanca!I82-PK!M33)&gt;1, ABS(Bilanca!J82-PK!M62)&gt;1)),1,0)</f>
        <v>0</v>
      </c>
      <c r="T71" s="191">
        <f>IF(AND($O$7=1,OR(ABS(Bilanca!I83-PK!N33)&gt;1, ABS(Bilanca!J83-PK!N62)&gt;1)),1,0)</f>
        <v>0</v>
      </c>
      <c r="U71" s="191">
        <f>IF(AND($O$7=1,OR(ABS(Bilanca!I84-PK!O33)&gt;1, ABS(Bilanca!J84-PK!O62)&gt;1)),1,0)</f>
        <v>0</v>
      </c>
      <c r="V71" s="191">
        <f>IF(AND($O$7=1,OR(ABS(Bilanca!I85-PK!P33)&gt;1, ABS(Bilanca!J85-PK!P62)&gt;1)),1,0)</f>
        <v>0</v>
      </c>
      <c r="W71" s="191">
        <f>IF(AND($O$7=1,OR(ABS(Bilanca!I87-PK!Q33)&gt;1, ABS(Bilanca!J87-PK!Q62)&gt;1)),1,0)</f>
        <v>0</v>
      </c>
      <c r="X71" s="191">
        <f>IF(AND($O$7=1,OR(ABS(Bilanca!I88-PK!R33)&gt;1, ABS(Bilanca!J88-PK!R62)&gt;1)),1,0)</f>
        <v>0</v>
      </c>
      <c r="Y71" s="191">
        <f>IF(AND($O$7=1,OR(ABS(Bilanca!I89-PK!S33)&gt;1, ABS(Bilanca!J89-PK!S62)&gt;1)),1,0)</f>
        <v>0</v>
      </c>
      <c r="Z71" s="191">
        <f>IF(AND($O$7=1,OR(ABS(Bilanca!I90-PK!T33)&gt;1, ABS(Bilanca!J90-PK!T62)&gt;1)),1,0)</f>
        <v>0</v>
      </c>
      <c r="AA71" s="191">
        <f>IF(AND($O$7=1,OR(ABS(Bilanca!I91-PK!U33)&gt;1, ABS(Bilanca!J91-PK!U62)&gt;1)),1,0)</f>
        <v>0</v>
      </c>
      <c r="AB71" s="191">
        <f>IF(AND($O$7=1,OR(ABS(Bilanca!I92-PK!V33)&gt;1, ABS(Bilanca!J92-PK!V62)&gt;1)),1,0)</f>
        <v>0</v>
      </c>
      <c r="AC71" s="191">
        <f>IF(AND($O$7=1,OR(ABS(Bilanca!I95-PK!W33)&gt;1, ABS(Bilanca!J95-PK!W62)&gt;1)),1,0)</f>
        <v>0</v>
      </c>
      <c r="AD71" s="191">
        <f>IF(AND($O$7=1,OR(ABS(Bilanca!I98-PK!Y33)&gt;1, ABS(Bilanca!J98-PK!Y62)&gt;1)),1,0)</f>
        <v>0</v>
      </c>
    </row>
    <row r="72" spans="1:30" ht="37.5" customHeight="1" x14ac:dyDescent="0.2">
      <c r="A72" s="243">
        <f>A71+1</f>
        <v>60</v>
      </c>
      <c r="B72" s="239" t="str">
        <f>IF(L72=1,"Pogreška", IF(M72=1, "Provjera","OK"))</f>
        <v>OK</v>
      </c>
      <c r="C72" s="496" t="s">
        <v>2418</v>
      </c>
      <c r="D72" s="496"/>
      <c r="E72" s="496"/>
      <c r="F72" s="496"/>
      <c r="G72" s="496"/>
      <c r="H72" s="496"/>
      <c r="I72" s="496"/>
      <c r="J72" s="496"/>
      <c r="L72" s="195">
        <f>MAX(N72:O72)</f>
        <v>0</v>
      </c>
      <c r="M72" s="191">
        <f>MAX(S72:W72)</f>
        <v>0</v>
      </c>
      <c r="N72" s="191">
        <f>IF(MIN(Dodatni!I9:J67,Dodatni!I71:I88)&lt;0,1,0)</f>
        <v>0</v>
      </c>
      <c r="O72" s="190"/>
      <c r="P72" s="191"/>
      <c r="Q72" s="192"/>
      <c r="S72" s="193">
        <f>IF(MIN(Dodatni!I68:J70)&lt;0,1,0)</f>
        <v>0</v>
      </c>
    </row>
    <row r="73" spans="1:30" ht="20.100000000000001" customHeight="1" x14ac:dyDescent="0.2">
      <c r="A73" s="492" t="s">
        <v>308</v>
      </c>
      <c r="B73" s="493"/>
      <c r="C73" s="493"/>
      <c r="D73" s="493"/>
      <c r="E73" s="493"/>
      <c r="F73" s="493"/>
      <c r="G73" s="493"/>
      <c r="H73" s="493"/>
      <c r="I73" s="493"/>
      <c r="J73" s="494"/>
      <c r="L73" s="190">
        <f>MAX(N73:R73)</f>
        <v>0</v>
      </c>
      <c r="M73" s="190"/>
      <c r="N73" s="190"/>
      <c r="O73" s="190"/>
      <c r="P73" s="190"/>
    </row>
    <row r="74" spans="1:30" ht="33" customHeight="1" x14ac:dyDescent="0.2">
      <c r="A74" s="241">
        <f>A72+1</f>
        <v>61</v>
      </c>
      <c r="B74" s="237" t="str">
        <f t="shared" ref="B74:B88" si="12">IF(L74=1,"Pogreška", IF(M74=1, "Provjera","OK"))</f>
        <v>OK</v>
      </c>
      <c r="C74" s="495" t="s">
        <v>765</v>
      </c>
      <c r="D74" s="495"/>
      <c r="E74" s="495"/>
      <c r="F74" s="495"/>
      <c r="G74" s="495"/>
      <c r="H74" s="495"/>
      <c r="I74" s="495"/>
      <c r="J74" s="495"/>
      <c r="L74" s="190">
        <f>MAX(N74:R74)</f>
        <v>0</v>
      </c>
      <c r="M74" s="190"/>
      <c r="N74" s="191">
        <f>IF(Dodatni!I28&gt;Dodatni!I26,1,0)</f>
        <v>0</v>
      </c>
      <c r="O74" s="191">
        <f>IF(Dodatni!J28&gt;Dodatni!J26,1,0)</f>
        <v>0</v>
      </c>
      <c r="P74" s="191"/>
      <c r="Q74" s="192"/>
    </row>
    <row r="75" spans="1:30" ht="42.75" customHeight="1" x14ac:dyDescent="0.2">
      <c r="A75" s="242">
        <f t="shared" ref="A75:A107" si="13">A74+1</f>
        <v>62</v>
      </c>
      <c r="B75" s="238" t="str">
        <f t="shared" si="12"/>
        <v>OK</v>
      </c>
      <c r="C75" s="491" t="s">
        <v>766</v>
      </c>
      <c r="D75" s="491"/>
      <c r="E75" s="491"/>
      <c r="F75" s="491"/>
      <c r="G75" s="491"/>
      <c r="H75" s="491"/>
      <c r="I75" s="491"/>
      <c r="J75" s="491"/>
      <c r="L75" s="190">
        <f>MAX(N75:R75)</f>
        <v>0</v>
      </c>
      <c r="M75" s="190"/>
      <c r="N75" s="191">
        <f>IF(Dodatni!I31&gt;(Dodatni!I30+Dodatni!I29)+1,1,0)</f>
        <v>0</v>
      </c>
      <c r="O75" s="191">
        <f>IF(Dodatni!J31&gt;(Dodatni!J30+Dodatni!J29)+1,1,0)</f>
        <v>0</v>
      </c>
      <c r="P75" s="191"/>
      <c r="Q75" s="192"/>
    </row>
    <row r="76" spans="1:30" ht="43.5" customHeight="1" x14ac:dyDescent="0.2">
      <c r="A76" s="242">
        <f t="shared" si="13"/>
        <v>63</v>
      </c>
      <c r="B76" s="238" t="str">
        <f t="shared" si="12"/>
        <v>OK</v>
      </c>
      <c r="C76" s="491" t="s">
        <v>767</v>
      </c>
      <c r="D76" s="491"/>
      <c r="E76" s="491"/>
      <c r="F76" s="491"/>
      <c r="G76" s="491"/>
      <c r="H76" s="491"/>
      <c r="I76" s="491"/>
      <c r="J76" s="491"/>
      <c r="L76" s="190">
        <f>MAX(N76:R76)</f>
        <v>0</v>
      </c>
      <c r="M76" s="191">
        <f>MAX(S76:W76)</f>
        <v>0</v>
      </c>
      <c r="N76" s="191">
        <f>IF(AND($O$4=1,SUM(Dodatni!I25:I26)+SUM(Dodatni!I29:I30)+SUM(Dodatni!I32:I35)-RDG!I9-RDG!I10+1&lt;0),1,0)</f>
        <v>0</v>
      </c>
      <c r="O76" s="191">
        <f>IF(AND($O$4=1,SUM(Dodatni!J25:J26)+SUM(Dodatni!J29:J30)+SUM(Dodatni!J32:J35)-RDG!J9-RDG!J10+1&lt;0),1,0)</f>
        <v>0</v>
      </c>
      <c r="S76" s="191">
        <f>IF(AND($O$4=1,SUM(Dodatni!I25:I26)+SUM(Dodatni!I28:I30)+SUM(Dodatni!I32:I35)-RDG!I9-RDG!I10-1&gt;0),1,0)</f>
        <v>0</v>
      </c>
      <c r="T76" s="191">
        <f>IF(AND($O$4=1,SUM(Dodatni!J25:J26)+SUM(Dodatni!J28:J30)+SUM(Dodatni!J32:J35)-RDG!J9-RDG!J10-1&gt;0),1,0)</f>
        <v>0</v>
      </c>
    </row>
    <row r="77" spans="1:30" ht="20.100000000000001" customHeight="1" x14ac:dyDescent="0.2">
      <c r="A77" s="242">
        <f t="shared" si="13"/>
        <v>64</v>
      </c>
      <c r="B77" s="238" t="str">
        <f t="shared" si="12"/>
        <v>OK</v>
      </c>
      <c r="C77" s="491" t="s">
        <v>768</v>
      </c>
      <c r="D77" s="491"/>
      <c r="E77" s="491"/>
      <c r="F77" s="491"/>
      <c r="G77" s="491"/>
      <c r="H77" s="491"/>
      <c r="I77" s="491"/>
      <c r="J77" s="491"/>
      <c r="L77" s="190">
        <f t="shared" ref="L77:L90" si="14">MAX(N77:R77)</f>
        <v>0</v>
      </c>
      <c r="M77" s="190"/>
      <c r="N77" s="191">
        <f>IF(Dodatni!I45&gt;Dodatni!I35,1,0)</f>
        <v>0</v>
      </c>
      <c r="O77" s="191">
        <f>IF(Dodatni!J45&gt;Dodatni!J35,1,0)</f>
        <v>0</v>
      </c>
      <c r="P77" s="191"/>
      <c r="Q77" s="192"/>
    </row>
    <row r="78" spans="1:30" ht="30" customHeight="1" x14ac:dyDescent="0.2">
      <c r="A78" s="242">
        <f t="shared" si="13"/>
        <v>65</v>
      </c>
      <c r="B78" s="238" t="str">
        <f t="shared" si="12"/>
        <v>OK</v>
      </c>
      <c r="C78" s="491" t="s">
        <v>769</v>
      </c>
      <c r="D78" s="491"/>
      <c r="E78" s="491"/>
      <c r="F78" s="491"/>
      <c r="G78" s="491"/>
      <c r="H78" s="491"/>
      <c r="I78" s="491"/>
      <c r="J78" s="491"/>
      <c r="L78" s="190">
        <f t="shared" si="14"/>
        <v>0</v>
      </c>
      <c r="M78" s="190"/>
      <c r="N78" s="191">
        <f>IF(AND($O$4=1,ABS(RDG!I9+RDG!I10-Dodatni!I37-Dodatni!I38)&gt;1),1,0)</f>
        <v>0</v>
      </c>
      <c r="O78" s="191">
        <f>IF(AND($O$4=1,ABS(RDG!J9+RDG!J10-Dodatni!J37-Dodatni!J38)&gt;1),1,0)</f>
        <v>0</v>
      </c>
      <c r="P78" s="191"/>
      <c r="Q78" s="192"/>
    </row>
    <row r="79" spans="1:30" ht="20.100000000000001" customHeight="1" x14ac:dyDescent="0.2">
      <c r="A79" s="242">
        <f t="shared" si="13"/>
        <v>66</v>
      </c>
      <c r="B79" s="238" t="str">
        <f t="shared" si="12"/>
        <v>OK</v>
      </c>
      <c r="C79" s="491" t="s">
        <v>770</v>
      </c>
      <c r="D79" s="491"/>
      <c r="E79" s="491"/>
      <c r="F79" s="491"/>
      <c r="G79" s="491"/>
      <c r="H79" s="491"/>
      <c r="I79" s="491"/>
      <c r="J79" s="491"/>
      <c r="L79" s="190">
        <f t="shared" si="14"/>
        <v>0</v>
      </c>
      <c r="M79" s="190"/>
      <c r="N79" s="191">
        <f>IF(Dodatni!I66&gt;Dodatni!I65,1,0)</f>
        <v>0</v>
      </c>
      <c r="O79" s="191">
        <f>IF(Dodatni!J66&gt;Dodatni!J65,1,0)</f>
        <v>0</v>
      </c>
      <c r="P79" s="191"/>
      <c r="Q79" s="192"/>
    </row>
    <row r="80" spans="1:30" ht="20.100000000000001" customHeight="1" x14ac:dyDescent="0.2">
      <c r="A80" s="242">
        <f t="shared" si="13"/>
        <v>67</v>
      </c>
      <c r="B80" s="238" t="str">
        <f t="shared" si="12"/>
        <v>OK</v>
      </c>
      <c r="C80" s="491" t="s">
        <v>771</v>
      </c>
      <c r="D80" s="491"/>
      <c r="E80" s="491"/>
      <c r="F80" s="491"/>
      <c r="G80" s="491"/>
      <c r="H80" s="491"/>
      <c r="I80" s="491"/>
      <c r="J80" s="491"/>
      <c r="L80" s="190">
        <f t="shared" si="14"/>
        <v>0</v>
      </c>
      <c r="M80" s="190"/>
      <c r="N80" s="191">
        <f>IF(Dodatni!I23&gt;RDG!I9,1,0)</f>
        <v>0</v>
      </c>
      <c r="O80" s="191">
        <f>IF(Dodatni!J23&gt;RDG!J9,1,0)</f>
        <v>0</v>
      </c>
      <c r="P80" s="191"/>
      <c r="Q80" s="192"/>
    </row>
    <row r="81" spans="1:21" ht="20.100000000000001" customHeight="1" x14ac:dyDescent="0.2">
      <c r="A81" s="242">
        <f t="shared" si="13"/>
        <v>68</v>
      </c>
      <c r="B81" s="238" t="str">
        <f t="shared" si="12"/>
        <v>OK</v>
      </c>
      <c r="C81" s="491" t="s">
        <v>772</v>
      </c>
      <c r="D81" s="491"/>
      <c r="E81" s="491"/>
      <c r="F81" s="491"/>
      <c r="G81" s="491"/>
      <c r="H81" s="491"/>
      <c r="I81" s="491"/>
      <c r="J81" s="491"/>
      <c r="L81" s="190">
        <f t="shared" si="14"/>
        <v>0</v>
      </c>
      <c r="M81" s="190"/>
      <c r="N81" s="191">
        <f>IF(Dodatni!I27&gt;Dodatni!I26,1,0)</f>
        <v>0</v>
      </c>
      <c r="O81" s="191">
        <f>IF(Dodatni!J27&gt;Dodatni!J26,1,0)</f>
        <v>0</v>
      </c>
      <c r="P81" s="191"/>
      <c r="Q81" s="192"/>
    </row>
    <row r="82" spans="1:21" ht="20.100000000000001" customHeight="1" x14ac:dyDescent="0.2">
      <c r="A82" s="242">
        <f t="shared" si="13"/>
        <v>69</v>
      </c>
      <c r="B82" s="238" t="str">
        <f t="shared" si="12"/>
        <v>OK</v>
      </c>
      <c r="C82" s="491" t="s">
        <v>773</v>
      </c>
      <c r="D82" s="491"/>
      <c r="E82" s="491"/>
      <c r="F82" s="491"/>
      <c r="G82" s="491"/>
      <c r="H82" s="491"/>
      <c r="I82" s="491"/>
      <c r="J82" s="491"/>
      <c r="L82" s="190">
        <f t="shared" si="14"/>
        <v>0</v>
      </c>
      <c r="M82" s="190"/>
      <c r="N82" s="191">
        <f>IF(Dodatni!I27&gt;Dodatni!I23,1,0)</f>
        <v>0</v>
      </c>
      <c r="O82" s="191">
        <f>IF(Dodatni!J27&gt;Dodatni!J23,1,0)</f>
        <v>0</v>
      </c>
      <c r="P82" s="191"/>
      <c r="Q82" s="192"/>
    </row>
    <row r="83" spans="1:21" ht="20.100000000000001" customHeight="1" x14ac:dyDescent="0.2">
      <c r="A83" s="242">
        <f t="shared" si="13"/>
        <v>70</v>
      </c>
      <c r="B83" s="238" t="str">
        <f t="shared" si="12"/>
        <v>OK</v>
      </c>
      <c r="C83" s="491" t="s">
        <v>774</v>
      </c>
      <c r="D83" s="491"/>
      <c r="E83" s="491"/>
      <c r="F83" s="491"/>
      <c r="G83" s="491"/>
      <c r="H83" s="491"/>
      <c r="I83" s="491"/>
      <c r="J83" s="491"/>
      <c r="L83" s="190">
        <f t="shared" si="14"/>
        <v>0</v>
      </c>
      <c r="M83" s="190"/>
      <c r="N83" s="191">
        <f>IF(Dodatni!I40&gt;RDG!I11,1,0)</f>
        <v>0</v>
      </c>
      <c r="O83" s="191">
        <f>IF(Dodatni!J40&gt;RDG!J11,1,0)</f>
        <v>0</v>
      </c>
      <c r="P83" s="191"/>
      <c r="Q83" s="192"/>
    </row>
    <row r="84" spans="1:21" ht="20.100000000000001" customHeight="1" x14ac:dyDescent="0.2">
      <c r="A84" s="242">
        <f t="shared" si="13"/>
        <v>71</v>
      </c>
      <c r="B84" s="238" t="str">
        <f t="shared" si="12"/>
        <v>OK</v>
      </c>
      <c r="C84" s="491" t="s">
        <v>775</v>
      </c>
      <c r="D84" s="491"/>
      <c r="E84" s="491"/>
      <c r="F84" s="491"/>
      <c r="G84" s="491"/>
      <c r="H84" s="491"/>
      <c r="I84" s="491"/>
      <c r="J84" s="491"/>
      <c r="L84" s="190">
        <f t="shared" si="14"/>
        <v>0</v>
      </c>
      <c r="M84" s="190"/>
      <c r="N84" s="191">
        <f>IF(Dodatni!I42&gt;RDG!I12,1,0)</f>
        <v>0</v>
      </c>
      <c r="O84" s="191">
        <f>IF(Dodatni!J42&gt;RDG!J12,1,0)</f>
        <v>0</v>
      </c>
      <c r="P84" s="191"/>
      <c r="Q84" s="192"/>
    </row>
    <row r="85" spans="1:21" ht="20.100000000000001" customHeight="1" x14ac:dyDescent="0.2">
      <c r="A85" s="242">
        <f t="shared" si="13"/>
        <v>72</v>
      </c>
      <c r="B85" s="238" t="str">
        <f t="shared" si="12"/>
        <v>OK</v>
      </c>
      <c r="C85" s="491" t="s">
        <v>776</v>
      </c>
      <c r="D85" s="491"/>
      <c r="E85" s="491"/>
      <c r="F85" s="491"/>
      <c r="G85" s="491"/>
      <c r="H85" s="491"/>
      <c r="I85" s="491"/>
      <c r="J85" s="491"/>
      <c r="L85" s="190">
        <f t="shared" si="14"/>
        <v>0</v>
      </c>
      <c r="M85" s="190"/>
      <c r="N85" s="191">
        <f>IF(Dodatni!I44&gt;Dodatni!I43,1,0)</f>
        <v>0</v>
      </c>
      <c r="O85" s="191">
        <f>IF(Dodatni!J44&gt;Dodatni!J43,1,0)</f>
        <v>0</v>
      </c>
      <c r="P85" s="191"/>
      <c r="Q85" s="192"/>
    </row>
    <row r="86" spans="1:21" ht="20.100000000000001" customHeight="1" x14ac:dyDescent="0.2">
      <c r="A86" s="242">
        <f t="shared" si="13"/>
        <v>73</v>
      </c>
      <c r="B86" s="238" t="str">
        <f t="shared" si="12"/>
        <v>OK</v>
      </c>
      <c r="C86" s="491" t="s">
        <v>777</v>
      </c>
      <c r="D86" s="491"/>
      <c r="E86" s="491"/>
      <c r="F86" s="491"/>
      <c r="G86" s="491"/>
      <c r="H86" s="491"/>
      <c r="I86" s="491"/>
      <c r="J86" s="491"/>
      <c r="L86" s="190">
        <f t="shared" si="14"/>
        <v>0</v>
      </c>
      <c r="M86" s="190"/>
      <c r="N86" s="191">
        <f>IF(Dodatni!I49&gt;RDG!I18,1,0)</f>
        <v>0</v>
      </c>
      <c r="O86" s="191">
        <f>IF(Dodatni!J49&gt;RDG!J18,1,0)</f>
        <v>0</v>
      </c>
      <c r="P86" s="191"/>
      <c r="Q86" s="192"/>
    </row>
    <row r="87" spans="1:21" ht="20.100000000000001" customHeight="1" x14ac:dyDescent="0.2">
      <c r="A87" s="242">
        <f t="shared" si="13"/>
        <v>74</v>
      </c>
      <c r="B87" s="238" t="str">
        <f t="shared" si="12"/>
        <v>OK</v>
      </c>
      <c r="C87" s="491" t="s">
        <v>778</v>
      </c>
      <c r="D87" s="491"/>
      <c r="E87" s="491"/>
      <c r="F87" s="491"/>
      <c r="G87" s="491"/>
      <c r="H87" s="491"/>
      <c r="I87" s="491"/>
      <c r="J87" s="491"/>
      <c r="L87" s="190">
        <f t="shared" si="14"/>
        <v>0</v>
      </c>
      <c r="M87" s="190"/>
      <c r="N87" s="191">
        <f>IF(Dodatni!I61&gt;Dodatni!I60,1,0)</f>
        <v>0</v>
      </c>
      <c r="O87" s="191">
        <f>IF(Dodatni!J61&gt;Dodatni!J60,1,0)</f>
        <v>0</v>
      </c>
      <c r="P87" s="191"/>
      <c r="Q87" s="192"/>
    </row>
    <row r="88" spans="1:21" ht="20.100000000000001" customHeight="1" x14ac:dyDescent="0.2">
      <c r="A88" s="242">
        <f t="shared" si="13"/>
        <v>75</v>
      </c>
      <c r="B88" s="238" t="str">
        <f t="shared" si="12"/>
        <v>OK</v>
      </c>
      <c r="C88" s="491" t="s">
        <v>779</v>
      </c>
      <c r="D88" s="491"/>
      <c r="E88" s="491"/>
      <c r="F88" s="491"/>
      <c r="G88" s="491"/>
      <c r="H88" s="491"/>
      <c r="I88" s="491"/>
      <c r="J88" s="491"/>
      <c r="L88" s="190">
        <f t="shared" si="14"/>
        <v>0</v>
      </c>
      <c r="M88" s="190"/>
      <c r="N88" s="190">
        <f>IF(Dodatni!I73&gt;RDG!I37,1,0)</f>
        <v>0</v>
      </c>
      <c r="O88" s="190">
        <f>IF(Dodatni!J73&gt;RDG!J37,1,0)</f>
        <v>0</v>
      </c>
      <c r="P88" s="190"/>
    </row>
    <row r="89" spans="1:21" ht="20.100000000000001" customHeight="1" x14ac:dyDescent="0.2">
      <c r="A89" s="242">
        <f>A88+1</f>
        <v>76</v>
      </c>
      <c r="B89" s="238" t="str">
        <f>IF(L89=1,"Pogreška", IF(M89=1, "Provjera","OK"))</f>
        <v>OK</v>
      </c>
      <c r="C89" s="491" t="s">
        <v>780</v>
      </c>
      <c r="D89" s="491"/>
      <c r="E89" s="491"/>
      <c r="F89" s="491"/>
      <c r="G89" s="491"/>
      <c r="H89" s="491"/>
      <c r="I89" s="491"/>
      <c r="J89" s="491"/>
      <c r="L89" s="190">
        <f t="shared" si="14"/>
        <v>0</v>
      </c>
      <c r="M89" s="190"/>
      <c r="N89" s="190">
        <f>IF(Dodatni!I76&gt;RDG!I48,1,0)</f>
        <v>0</v>
      </c>
      <c r="O89" s="190">
        <f>IF(Dodatni!J76&gt;RDG!J48,1,0)</f>
        <v>0</v>
      </c>
      <c r="P89" s="190"/>
    </row>
    <row r="90" spans="1:21" ht="20.100000000000001" customHeight="1" x14ac:dyDescent="0.2">
      <c r="A90" s="242">
        <f>A89+1</f>
        <v>77</v>
      </c>
      <c r="B90" s="238" t="str">
        <f>IF(L90=1,"Pogreška", IF(M90=1, "Provjera","OK"))</f>
        <v>OK</v>
      </c>
      <c r="C90" s="491" t="s">
        <v>781</v>
      </c>
      <c r="D90" s="491"/>
      <c r="E90" s="491"/>
      <c r="F90" s="491"/>
      <c r="G90" s="491"/>
      <c r="H90" s="491"/>
      <c r="I90" s="491"/>
      <c r="J90" s="491"/>
      <c r="L90" s="190">
        <f t="shared" si="14"/>
        <v>0</v>
      </c>
      <c r="M90" s="190"/>
      <c r="N90" s="190">
        <f>IF(Dodatni!I78&lt;Dodatni!I84,1,0)</f>
        <v>0</v>
      </c>
      <c r="O90" s="190">
        <f>IF(Dodatni!J78&lt;Dodatni!J84,1,0)</f>
        <v>0</v>
      </c>
      <c r="P90" s="190"/>
    </row>
    <row r="91" spans="1:21" ht="20.100000000000001" customHeight="1" x14ac:dyDescent="0.2">
      <c r="A91" s="242">
        <f>A90+1</f>
        <v>78</v>
      </c>
      <c r="B91" s="238" t="str">
        <f>IF(L91=1,"Pogreška", IF(M91=1, "Provjera","OK"))</f>
        <v>OK</v>
      </c>
      <c r="C91" s="491" t="s">
        <v>2419</v>
      </c>
      <c r="D91" s="491"/>
      <c r="E91" s="491"/>
      <c r="F91" s="491"/>
      <c r="G91" s="491"/>
      <c r="H91" s="491"/>
      <c r="I91" s="491"/>
      <c r="J91" s="491"/>
      <c r="L91" s="190">
        <v>0</v>
      </c>
      <c r="M91" s="190">
        <f>MAX(N91:O91)</f>
        <v>0</v>
      </c>
      <c r="N91" s="190">
        <f>IF(AND(P4&gt;0,O8&lt;&gt;"DA",Dodatni!I50=0),1,0)</f>
        <v>0</v>
      </c>
      <c r="O91" s="190">
        <f>IF(AND(Q4&gt;0,O8&lt;&gt;"DA",Dodatni!J50=0),1,0)</f>
        <v>0</v>
      </c>
      <c r="P91" s="190"/>
    </row>
    <row r="92" spans="1:21" ht="30" customHeight="1" x14ac:dyDescent="0.2">
      <c r="A92" s="242">
        <f>A91+1</f>
        <v>79</v>
      </c>
      <c r="B92" s="238" t="str">
        <f>IF(L92=1,"Pogreška", IF(M92=1, "Provjera","OK"))</f>
        <v>OK</v>
      </c>
      <c r="C92" s="491" t="s">
        <v>782</v>
      </c>
      <c r="D92" s="491"/>
      <c r="E92" s="491"/>
      <c r="F92" s="491"/>
      <c r="G92" s="491"/>
      <c r="H92" s="491"/>
      <c r="I92" s="491"/>
      <c r="J92" s="491"/>
      <c r="L92" s="190">
        <v>0</v>
      </c>
      <c r="M92" s="190">
        <f>MAX(N92:O92)</f>
        <v>0</v>
      </c>
      <c r="N92" s="190">
        <f>IF(AND(P4&gt;0,O8&lt;&gt;"DA",Dodatni!I51=0),1,0)</f>
        <v>0</v>
      </c>
      <c r="O92" s="190">
        <f>IF(AND(Q4&gt;0,O8&lt;&gt;"DA",Dodatni!J51=0),1,0)</f>
        <v>0</v>
      </c>
      <c r="P92" s="190"/>
    </row>
    <row r="93" spans="1:21" ht="20.100000000000001" customHeight="1" x14ac:dyDescent="0.2">
      <c r="A93" s="242">
        <f t="shared" si="13"/>
        <v>80</v>
      </c>
      <c r="B93" s="238" t="str">
        <f t="shared" ref="B93:B98" si="15">IF(L93=1,"Pogreška", IF(M93=1, "Provjera","OK"))</f>
        <v>OK</v>
      </c>
      <c r="C93" s="491" t="s">
        <v>783</v>
      </c>
      <c r="D93" s="491"/>
      <c r="E93" s="491"/>
      <c r="F93" s="491"/>
      <c r="G93" s="491"/>
      <c r="H93" s="491"/>
      <c r="I93" s="491"/>
      <c r="J93" s="491"/>
      <c r="L93" s="190">
        <v>0</v>
      </c>
      <c r="M93" s="190">
        <f>MAX(N93:O93)</f>
        <v>0</v>
      </c>
      <c r="N93" s="190">
        <f>IF(Dodatni!I43&gt;SUM(RDG!I12:I13),1,0)</f>
        <v>0</v>
      </c>
      <c r="O93" s="190">
        <f>IF(Dodatni!J43&gt;SUM(RDG!J12:J13),1,0)</f>
        <v>0</v>
      </c>
      <c r="P93" s="190"/>
    </row>
    <row r="94" spans="1:21" ht="36.75" customHeight="1" x14ac:dyDescent="0.2">
      <c r="A94" s="242">
        <f t="shared" si="13"/>
        <v>81</v>
      </c>
      <c r="B94" s="238" t="str">
        <f t="shared" si="15"/>
        <v>OK</v>
      </c>
      <c r="C94" s="491" t="s">
        <v>784</v>
      </c>
      <c r="D94" s="491"/>
      <c r="E94" s="491"/>
      <c r="F94" s="491"/>
      <c r="G94" s="491"/>
      <c r="H94" s="491"/>
      <c r="I94" s="491"/>
      <c r="J94" s="491"/>
      <c r="L94" s="190">
        <v>0</v>
      </c>
      <c r="M94" s="190">
        <f>MAX(N94:O94)</f>
        <v>0</v>
      </c>
      <c r="N94" s="190">
        <f>IF(Dodatni!I52&gt;(Dodatni!I25+Dodatni!I29+Dodatni!I30+SUM(Dodatni!I32:I35)),1,0)</f>
        <v>0</v>
      </c>
      <c r="O94" s="190">
        <f>IF(Dodatni!J52&gt;(Dodatni!J25+Dodatni!J29+Dodatni!J30+SUM(Dodatni!J32:J35)),1,0)</f>
        <v>0</v>
      </c>
      <c r="P94" s="190"/>
    </row>
    <row r="95" spans="1:21" ht="36.75" customHeight="1" x14ac:dyDescent="0.2">
      <c r="A95" s="242">
        <f t="shared" si="13"/>
        <v>82</v>
      </c>
      <c r="B95" s="238" t="str">
        <f t="shared" si="15"/>
        <v>OK</v>
      </c>
      <c r="C95" s="491" t="s">
        <v>785</v>
      </c>
      <c r="D95" s="491"/>
      <c r="E95" s="491"/>
      <c r="F95" s="491"/>
      <c r="G95" s="491"/>
      <c r="H95" s="491"/>
      <c r="I95" s="491"/>
      <c r="J95" s="491"/>
      <c r="L95" s="190">
        <v>0</v>
      </c>
      <c r="M95" s="190">
        <f>MAX(N95:O95)</f>
        <v>0</v>
      </c>
      <c r="N95" s="190">
        <f>IF(Dodatni!I52&gt;RDG!I18,1,0)</f>
        <v>0</v>
      </c>
      <c r="O95" s="190">
        <f>IF(Dodatni!J52&gt;RDG!J18,1,0)</f>
        <v>0</v>
      </c>
      <c r="P95" s="190"/>
    </row>
    <row r="96" spans="1:21" ht="41.25" customHeight="1" x14ac:dyDescent="0.2">
      <c r="A96" s="242">
        <f t="shared" si="13"/>
        <v>83</v>
      </c>
      <c r="B96" s="238" t="str">
        <f t="shared" si="15"/>
        <v>OK</v>
      </c>
      <c r="C96" s="491" t="s">
        <v>596</v>
      </c>
      <c r="D96" s="491"/>
      <c r="E96" s="491"/>
      <c r="F96" s="491"/>
      <c r="G96" s="491"/>
      <c r="H96" s="491"/>
      <c r="I96" s="491"/>
      <c r="J96" s="491"/>
      <c r="L96" s="190">
        <v>0</v>
      </c>
      <c r="M96" s="190">
        <f t="shared" ref="M96:M105" si="16">MAX(N96:W96)</f>
        <v>0</v>
      </c>
      <c r="N96" s="190">
        <f>IF(AND(P9=0,Q9&gt;2,P8&gt;0),1,0)</f>
        <v>0</v>
      </c>
      <c r="O96" s="190">
        <f>IF(AND(P10=0,Q10&gt;2,P8&gt;0),1,0)</f>
        <v>0</v>
      </c>
      <c r="P96" s="190">
        <f>IF(AND(P9&gt;2,Q9=0,P8&gt;0),1,0)</f>
        <v>0</v>
      </c>
      <c r="Q96" s="193">
        <f>IF(AND(P10&gt;2,Q10=0,P8&gt;0),1,0)</f>
        <v>0</v>
      </c>
      <c r="R96" s="193">
        <f>IF(AND(P9+Q9&gt;10,OR(P9&lt;0.39*(P9+Q9),Q9&lt;0.39*(P9+Q9))),1,0)</f>
        <v>0</v>
      </c>
      <c r="S96" s="193">
        <f>IF(AND(P10+Q10&gt;10,OR(P10&lt;0.39*(P10+Q10),Q10&lt;0.39*(P10+Q10))),1,0)</f>
        <v>0</v>
      </c>
      <c r="T96" s="193">
        <f>IF(AND(P9+P10&gt;10,OR(P9&lt;0.39*(P9+P10),P10&lt;0.39*(P9+P10))),1,0)</f>
        <v>0</v>
      </c>
      <c r="U96" s="193">
        <f>IF(AND(Q9+Q10&gt;10,OR(Q9&lt;0.39*(Q9+Q10),Q10&lt;0.39*(Q9+Q10))),1,0)</f>
        <v>0</v>
      </c>
    </row>
    <row r="97" spans="1:23" ht="30" customHeight="1" x14ac:dyDescent="0.2">
      <c r="A97" s="242">
        <f t="shared" si="13"/>
        <v>84</v>
      </c>
      <c r="B97" s="238" t="str">
        <f t="shared" si="15"/>
        <v>OK</v>
      </c>
      <c r="C97" s="491" t="s">
        <v>2420</v>
      </c>
      <c r="D97" s="491"/>
      <c r="E97" s="491"/>
      <c r="F97" s="491"/>
      <c r="G97" s="491"/>
      <c r="H97" s="491"/>
      <c r="I97" s="491"/>
      <c r="J97" s="491"/>
      <c r="L97" s="190">
        <v>0</v>
      </c>
      <c r="M97" s="190">
        <f t="shared" si="16"/>
        <v>0</v>
      </c>
      <c r="N97" s="190">
        <f>IF(AND(Dodatni!I88&gt;3,Dodatni!I88&gt;0.1*Kont!P10),1,0)</f>
        <v>0</v>
      </c>
      <c r="O97" s="190">
        <f>IF(AND(Dodatni!J88&gt;3,Dodatni!J88&gt;0.1*Kont!Q10),1,0)</f>
        <v>0</v>
      </c>
      <c r="P97" s="190"/>
    </row>
    <row r="98" spans="1:23" ht="20.100000000000001" customHeight="1" x14ac:dyDescent="0.2">
      <c r="A98" s="242">
        <f t="shared" si="13"/>
        <v>85</v>
      </c>
      <c r="B98" s="238" t="str">
        <f t="shared" si="15"/>
        <v>OK</v>
      </c>
      <c r="C98" s="491" t="s">
        <v>786</v>
      </c>
      <c r="D98" s="491"/>
      <c r="E98" s="491"/>
      <c r="F98" s="491"/>
      <c r="G98" s="491"/>
      <c r="H98" s="491"/>
      <c r="I98" s="491"/>
      <c r="J98" s="491"/>
      <c r="L98" s="190">
        <v>0</v>
      </c>
      <c r="M98" s="190">
        <f t="shared" si="16"/>
        <v>0</v>
      </c>
      <c r="N98" s="190">
        <f>IF(AND($O$8&lt;&gt;"DA",P4&gt;0,Dodatni!I62=0),1,0)</f>
        <v>0</v>
      </c>
      <c r="O98" s="190">
        <f>IF(AND($O$8&lt;&gt;"DA",Q4&gt;0,Dodatni!J62=0),1,0)</f>
        <v>0</v>
      </c>
      <c r="P98" s="190"/>
    </row>
    <row r="99" spans="1:23" ht="30" customHeight="1" x14ac:dyDescent="0.2">
      <c r="A99" s="242">
        <f t="shared" si="13"/>
        <v>86</v>
      </c>
      <c r="B99" s="238" t="str">
        <f t="shared" ref="B99:B108" si="17">IF(L99=1,"Pogreška", IF(M99=1, "Provjera","OK"))</f>
        <v>OK</v>
      </c>
      <c r="C99" s="491" t="s">
        <v>1833</v>
      </c>
      <c r="D99" s="491"/>
      <c r="E99" s="491"/>
      <c r="F99" s="491"/>
      <c r="G99" s="491"/>
      <c r="H99" s="491"/>
      <c r="I99" s="491"/>
      <c r="J99" s="491"/>
      <c r="L99" s="190">
        <v>0</v>
      </c>
      <c r="M99" s="190">
        <f t="shared" si="16"/>
        <v>0</v>
      </c>
      <c r="N99" s="190">
        <f>IF(Dodatni!I85&gt;Dodatni!I78,1,0)</f>
        <v>0</v>
      </c>
      <c r="O99" s="190">
        <f>IF(Dodatni!J85&gt;Dodatni!J78,1,0)</f>
        <v>0</v>
      </c>
      <c r="P99" s="190"/>
    </row>
    <row r="100" spans="1:23" ht="30" customHeight="1" x14ac:dyDescent="0.2">
      <c r="A100" s="242">
        <f t="shared" si="13"/>
        <v>87</v>
      </c>
      <c r="B100" s="238" t="str">
        <f t="shared" si="17"/>
        <v>OK</v>
      </c>
      <c r="C100" s="491" t="s">
        <v>2421</v>
      </c>
      <c r="D100" s="491"/>
      <c r="E100" s="491"/>
      <c r="F100" s="491"/>
      <c r="G100" s="491"/>
      <c r="H100" s="491"/>
      <c r="I100" s="491"/>
      <c r="J100" s="491"/>
      <c r="L100" s="190">
        <v>0</v>
      </c>
      <c r="M100" s="190">
        <f t="shared" si="16"/>
        <v>0</v>
      </c>
      <c r="N100" s="190">
        <f>IF(Dodatni!I86&gt;(Dodatni!I78+Dodatni!I83),1,0)</f>
        <v>0</v>
      </c>
      <c r="O100" s="190">
        <f>IF(Dodatni!J86&gt;(Dodatni!J78+Dodatni!J83),1,0)</f>
        <v>0</v>
      </c>
      <c r="P100" s="190"/>
    </row>
    <row r="101" spans="1:23" ht="30" customHeight="1" x14ac:dyDescent="0.2">
      <c r="A101" s="242">
        <f t="shared" si="13"/>
        <v>88</v>
      </c>
      <c r="B101" s="238" t="str">
        <f t="shared" si="17"/>
        <v>OK</v>
      </c>
      <c r="C101" s="491" t="s">
        <v>1834</v>
      </c>
      <c r="D101" s="491"/>
      <c r="E101" s="491"/>
      <c r="F101" s="491"/>
      <c r="G101" s="491"/>
      <c r="H101" s="491"/>
      <c r="I101" s="491"/>
      <c r="J101" s="491"/>
      <c r="L101" s="190">
        <v>0</v>
      </c>
      <c r="M101" s="190">
        <f t="shared" si="16"/>
        <v>0</v>
      </c>
      <c r="N101" s="190">
        <f>IF(AND(OR(S7=2,S7=3,S7=5,S7=6,S7=7),MIN(RDG!I9:J9,RDG!I12:J12)=0),1,0)</f>
        <v>0</v>
      </c>
      <c r="O101" s="190"/>
      <c r="P101" s="190"/>
    </row>
    <row r="102" spans="1:23" ht="30" customHeight="1" x14ac:dyDescent="0.2">
      <c r="A102" s="242">
        <f t="shared" si="13"/>
        <v>89</v>
      </c>
      <c r="B102" s="238" t="str">
        <f t="shared" si="17"/>
        <v>OK</v>
      </c>
      <c r="C102" s="491" t="s">
        <v>1835</v>
      </c>
      <c r="D102" s="491"/>
      <c r="E102" s="491"/>
      <c r="F102" s="491"/>
      <c r="G102" s="491"/>
      <c r="H102" s="491"/>
      <c r="I102" s="491"/>
      <c r="J102" s="491"/>
      <c r="L102" s="190">
        <v>0</v>
      </c>
      <c r="M102" s="190">
        <f t="shared" si="16"/>
        <v>0</v>
      </c>
      <c r="N102" s="190">
        <f>IF(AND(P4&gt;0,SUM(Bilanca!I31+Bilanca!I34+Bilanca!I36+Bilanca!I38+Bilanca!I64+Bilanca!I67+Bilanca!I69+Bilanca!I70)&lt;SUM(Dodatni!I10:I12)),1,0)</f>
        <v>0</v>
      </c>
      <c r="O102" s="190">
        <f>IF(AND(Q4&gt;0,SUM(Bilanca!J31+Bilanca!J34+Bilanca!J36+Bilanca!J38+Bilanca!J64+Bilanca!J67+Bilanca!J69+Bilanca!J70)&lt;SUM(Dodatni!J10:J12)),1,0)</f>
        <v>0</v>
      </c>
      <c r="P102" s="190"/>
      <c r="R102" s="192"/>
      <c r="S102" s="192"/>
      <c r="W102" s="211"/>
    </row>
    <row r="103" spans="1:23" ht="20.100000000000001" customHeight="1" x14ac:dyDescent="0.2">
      <c r="A103" s="242">
        <f t="shared" si="13"/>
        <v>90</v>
      </c>
      <c r="B103" s="238" t="str">
        <f t="shared" si="17"/>
        <v>OK</v>
      </c>
      <c r="C103" s="491" t="s">
        <v>1836</v>
      </c>
      <c r="D103" s="491"/>
      <c r="E103" s="491"/>
      <c r="F103" s="491"/>
      <c r="G103" s="491"/>
      <c r="H103" s="491"/>
      <c r="I103" s="491"/>
      <c r="J103" s="491"/>
      <c r="L103" s="190">
        <v>0</v>
      </c>
      <c r="M103" s="190">
        <f t="shared" si="16"/>
        <v>0</v>
      </c>
      <c r="N103" s="190">
        <f>IF(AND(P4&gt;0,SUM(Bilanca!I39+Bilanca!I54+Bilanca!I133)&lt;SUM(Dodatni!I13:I15)),1,0)</f>
        <v>0</v>
      </c>
      <c r="O103" s="190">
        <f>IF(AND(Q4&gt;0,SUM(Bilanca!J39+Bilanca!J54+Bilanca!J133)&lt;SUM(Dodatni!J13:J15)),1,0)</f>
        <v>0</v>
      </c>
      <c r="P103" s="190"/>
    </row>
    <row r="104" spans="1:23" ht="30" customHeight="1" x14ac:dyDescent="0.2">
      <c r="A104" s="242">
        <f t="shared" si="13"/>
        <v>91</v>
      </c>
      <c r="B104" s="238" t="str">
        <f t="shared" si="17"/>
        <v>OK</v>
      </c>
      <c r="C104" s="491" t="s">
        <v>1837</v>
      </c>
      <c r="D104" s="491"/>
      <c r="E104" s="491"/>
      <c r="F104" s="491"/>
      <c r="G104" s="491"/>
      <c r="H104" s="491"/>
      <c r="I104" s="491"/>
      <c r="J104" s="491"/>
      <c r="L104" s="190">
        <v>0</v>
      </c>
      <c r="M104" s="190">
        <f t="shared" si="16"/>
        <v>0</v>
      </c>
      <c r="N104" s="190">
        <f>IF(AND(P4&gt;0,SUM(Bilanca!I108+Bilanca!I110+Bilanca!I111+Bilanca!I112+Bilanca!I120+Bilanca!I122+Bilanca!I123+Bilanca!I124)&lt;SUM(Dodatni!I17:I19)),1,0)</f>
        <v>0</v>
      </c>
      <c r="O104" s="190">
        <f>IF(AND(Q4&gt;0,SUM(Bilanca!J108+Bilanca!J110+Bilanca!J111+Bilanca!J112+Bilanca!J120+Bilanca!J122+Bilanca!J123+Bilanca!J124)&lt;SUM(Dodatni!J17:J19)),1,0)</f>
        <v>0</v>
      </c>
      <c r="P104" s="190"/>
    </row>
    <row r="105" spans="1:23" ht="30" customHeight="1" x14ac:dyDescent="0.2">
      <c r="A105" s="242">
        <f t="shared" si="13"/>
        <v>92</v>
      </c>
      <c r="B105" s="238" t="str">
        <f t="shared" si="17"/>
        <v>OK</v>
      </c>
      <c r="C105" s="491" t="s">
        <v>2424</v>
      </c>
      <c r="D105" s="491"/>
      <c r="E105" s="491"/>
      <c r="F105" s="491"/>
      <c r="G105" s="491"/>
      <c r="H105" s="491"/>
      <c r="I105" s="491"/>
      <c r="J105" s="491"/>
      <c r="L105" s="190">
        <v>0</v>
      </c>
      <c r="M105" s="190">
        <f t="shared" si="16"/>
        <v>0</v>
      </c>
      <c r="N105" s="190">
        <f>IF(AND(P4&gt;0,SUM(Bilanca!I72+Bilanca!I113+Bilanca!I114+Bilanca!I125+Bilanca!I126)&lt;SUM(Dodatni!I20:I21)),1,0)</f>
        <v>0</v>
      </c>
      <c r="O105" s="190">
        <f>IF(AND(Q4&gt;0,SUM(Bilanca!J72+Bilanca!J113+Bilanca!J114+Bilanca!J125+Bilanca!J126)&lt;SUM(Dodatni!J20:J21)),1,0)</f>
        <v>0</v>
      </c>
      <c r="P105" s="190"/>
    </row>
    <row r="106" spans="1:23" ht="30" customHeight="1" x14ac:dyDescent="0.2">
      <c r="A106" s="242">
        <f>A105+1</f>
        <v>93</v>
      </c>
      <c r="B106" s="238" t="str">
        <f>IF(L106=1,"Pogreška", IF(M106=1, "Provjera","OK"))</f>
        <v>OK</v>
      </c>
      <c r="C106" s="491" t="s">
        <v>2422</v>
      </c>
      <c r="D106" s="491"/>
      <c r="E106" s="491"/>
      <c r="F106" s="491"/>
      <c r="G106" s="491"/>
      <c r="H106" s="491"/>
      <c r="I106" s="491"/>
      <c r="J106" s="491"/>
      <c r="L106" s="190">
        <f>MAX(N106:R106)</f>
        <v>0</v>
      </c>
      <c r="M106" s="190">
        <v>0</v>
      </c>
      <c r="N106" s="190">
        <f>IF(AND($S$5&lt;&gt;2,Dodatni!I23&gt;Dodatni!I37),1,0)</f>
        <v>0</v>
      </c>
      <c r="O106" s="190">
        <f>IF(AND($S$5&lt;&gt;2,Dodatni!J23&gt;Dodatni!J37),1,0)</f>
        <v>0</v>
      </c>
      <c r="P106" s="190"/>
    </row>
    <row r="107" spans="1:23" ht="30" customHeight="1" x14ac:dyDescent="0.2">
      <c r="A107" s="242">
        <f t="shared" si="13"/>
        <v>94</v>
      </c>
      <c r="B107" s="238" t="str">
        <f>IF(L107=1,"Pogreška", IF(M107=1, "Provjera","OK"))</f>
        <v>OK</v>
      </c>
      <c r="C107" s="491" t="s">
        <v>2423</v>
      </c>
      <c r="D107" s="491"/>
      <c r="E107" s="491"/>
      <c r="F107" s="491"/>
      <c r="G107" s="491"/>
      <c r="H107" s="491"/>
      <c r="I107" s="491"/>
      <c r="J107" s="491"/>
      <c r="L107" s="190">
        <f>MAX(N107:R107)</f>
        <v>0</v>
      </c>
      <c r="M107" s="190">
        <v>0</v>
      </c>
      <c r="N107" s="190">
        <f>IF(AND($S$5&lt;&gt;2,RDG!I9-Dodatni!I23&gt;Dodatni!I38),1,0)</f>
        <v>0</v>
      </c>
      <c r="O107" s="190">
        <f>IF(AND($S$5&lt;&gt;2,RDG!J9-Dodatni!J23&gt;Dodatni!J38),1,0)</f>
        <v>0</v>
      </c>
      <c r="P107" s="190"/>
    </row>
    <row r="108" spans="1:23" ht="75" customHeight="1" x14ac:dyDescent="0.2">
      <c r="A108" s="242">
        <f>A107+1</f>
        <v>95</v>
      </c>
      <c r="B108" s="239" t="str">
        <f t="shared" si="17"/>
        <v>OK</v>
      </c>
      <c r="C108" s="496" t="s">
        <v>2823</v>
      </c>
      <c r="D108" s="496"/>
      <c r="E108" s="496"/>
      <c r="F108" s="496"/>
      <c r="G108" s="496"/>
      <c r="H108" s="496"/>
      <c r="I108" s="496"/>
      <c r="J108" s="496"/>
      <c r="L108" s="190">
        <f>MAX(N108:R108)</f>
        <v>0</v>
      </c>
      <c r="M108" s="195"/>
      <c r="N108" s="195">
        <f>IF(MID(P108,2,1)&lt;&gt; ".",1,0)</f>
        <v>0</v>
      </c>
      <c r="O108" s="195">
        <f>IF(MID(P108,6,1)&lt;&gt; ",",1,0)</f>
        <v>0</v>
      </c>
      <c r="P108" s="190" t="str">
        <f>TEXT(1000.1,"#.000,00")</f>
        <v>1.000,10</v>
      </c>
    </row>
    <row r="109" spans="1:23" ht="20.100000000000001" customHeight="1" x14ac:dyDescent="0.2">
      <c r="A109" s="497" t="s">
        <v>959</v>
      </c>
      <c r="B109" s="498"/>
      <c r="C109" s="498"/>
      <c r="D109" s="498"/>
      <c r="E109" s="498"/>
      <c r="F109" s="498"/>
      <c r="G109" s="498"/>
      <c r="H109" s="498"/>
      <c r="I109" s="498"/>
      <c r="J109" s="499"/>
    </row>
    <row r="110" spans="1:23" ht="54" customHeight="1" x14ac:dyDescent="0.2">
      <c r="A110" s="241">
        <f>A108+1</f>
        <v>96</v>
      </c>
      <c r="B110" s="240" t="str">
        <f t="shared" ref="B110:B122" si="18">IF(L110=1,"Pogreška", IF(M110=1, "Provjera","OK"))</f>
        <v>OK</v>
      </c>
      <c r="C110" s="495" t="s">
        <v>1951</v>
      </c>
      <c r="D110" s="495"/>
      <c r="E110" s="495"/>
      <c r="F110" s="495"/>
      <c r="G110" s="495"/>
      <c r="H110" s="495"/>
      <c r="I110" s="495"/>
      <c r="J110" s="495"/>
      <c r="L110" s="190">
        <f>MAX(N110:S110)</f>
        <v>0</v>
      </c>
      <c r="M110" s="190"/>
      <c r="N110" s="190">
        <f>IF(OR(AND(P2=0,P8&gt;0),AND(P2&gt;0,P8=0)),1,0)</f>
        <v>0</v>
      </c>
      <c r="O110" s="190">
        <f>IF(OR(AND(Q2=0,Q8&gt;0),AND(Q2&gt;0,Q8=0)),1,0)</f>
        <v>0</v>
      </c>
      <c r="P110" s="190">
        <f>IF(OR(AND(P3=0,P8&gt;0,O8&lt;&gt;"DA"),AND(P3&gt;0,P8=0)),1,0)</f>
        <v>0</v>
      </c>
      <c r="Q110" s="193">
        <f>IF(OR(AND(Q3=0,Q8&gt;0,O8&lt;&gt;"DA"),AND(Q3=1,Q8=0)),1,0)</f>
        <v>0</v>
      </c>
    </row>
    <row r="111" spans="1:23" ht="76.5" customHeight="1" x14ac:dyDescent="0.2">
      <c r="A111" s="242">
        <f>A110+1</f>
        <v>97</v>
      </c>
      <c r="B111" s="238" t="str">
        <f t="shared" si="18"/>
        <v>OK</v>
      </c>
      <c r="C111" s="491" t="s">
        <v>2437</v>
      </c>
      <c r="D111" s="491"/>
      <c r="E111" s="491"/>
      <c r="F111" s="491"/>
      <c r="G111" s="491"/>
      <c r="H111" s="491"/>
      <c r="I111" s="491"/>
      <c r="J111" s="491"/>
      <c r="L111" s="190">
        <f>MAX(N111:T111)</f>
        <v>0</v>
      </c>
      <c r="M111" s="190">
        <f>MAX(U111:W111)</f>
        <v>0</v>
      </c>
      <c r="N111" s="190">
        <f>IF(AND(S5&lt;&gt;2,AND(P4=0,O8&lt;&gt;"DA",P8&gt;0)),1,0)</f>
        <v>0</v>
      </c>
      <c r="O111" s="190">
        <f>IF(AND(S5&lt;&gt;2,AND(Q4=0,O8&lt;&gt;"DA",Q8&gt;0)),1,0)</f>
        <v>0</v>
      </c>
      <c r="P111" s="190">
        <f>IF(AND(S5=2,OR(P4&gt;0,Q4&gt;0)),1,0)</f>
        <v>0</v>
      </c>
      <c r="Q111" s="193">
        <f>IF(AND(O4&gt;0,S2&lt;&gt;10,S2&lt;&gt;11,S2&lt;&gt;20,S2&lt;&gt;30,S2&lt;&gt;40),1,0)</f>
        <v>0</v>
      </c>
      <c r="U111" s="193">
        <f>IF(AND(S5&lt;&gt;2,AND(P4=0,P8&gt;0)),1,0)</f>
        <v>0</v>
      </c>
      <c r="V111" s="193">
        <f>IF(AND(S5&lt;&gt;2,AND(Q4=0,Q8&gt;0)),1,0)</f>
        <v>0</v>
      </c>
    </row>
    <row r="112" spans="1:23" ht="45" customHeight="1" x14ac:dyDescent="0.2">
      <c r="A112" s="242">
        <f t="shared" ref="A112:A122" si="19">A111+1</f>
        <v>98</v>
      </c>
      <c r="B112" s="238" t="str">
        <f t="shared" si="18"/>
        <v>OK</v>
      </c>
      <c r="C112" s="491" t="s">
        <v>2313</v>
      </c>
      <c r="D112" s="491"/>
      <c r="E112" s="491"/>
      <c r="F112" s="491"/>
      <c r="G112" s="491"/>
      <c r="H112" s="491"/>
      <c r="I112" s="491"/>
      <c r="J112" s="491"/>
      <c r="L112" s="190">
        <f>MAX(N112:O112)</f>
        <v>0</v>
      </c>
      <c r="M112" s="190"/>
      <c r="N112" s="190">
        <f>IF(AND(S5=1,AA8&lt;&gt;"NE"),1,0)</f>
        <v>0</v>
      </c>
      <c r="O112" s="190">
        <f>IF(AND(S5&gt;1,AA8&lt;&gt;"DA"),1,0)</f>
        <v>0</v>
      </c>
    </row>
    <row r="113" spans="1:32" ht="64.5" customHeight="1" x14ac:dyDescent="0.2">
      <c r="A113" s="242">
        <f t="shared" si="19"/>
        <v>99</v>
      </c>
      <c r="B113" s="238" t="str">
        <f t="shared" si="18"/>
        <v>OK</v>
      </c>
      <c r="C113" s="491" t="s">
        <v>2314</v>
      </c>
      <c r="D113" s="491"/>
      <c r="E113" s="491"/>
      <c r="F113" s="491"/>
      <c r="G113" s="491"/>
      <c r="H113" s="491"/>
      <c r="I113" s="491"/>
      <c r="J113" s="491"/>
      <c r="L113" s="190">
        <f>IF(SUM(N113:S113)&gt;0,1,0)</f>
        <v>0</v>
      </c>
      <c r="M113" s="190"/>
      <c r="N113" s="190">
        <f>IF(AND(S5=1,OR(O5&lt;&gt;0,O6&lt;&gt;0)),1,0)</f>
        <v>0</v>
      </c>
      <c r="O113" s="190">
        <f>IF(AND(S3&lt;3,OR(O5&lt;&gt;0,O6&lt;&gt;0)),1,0)</f>
        <v>0</v>
      </c>
      <c r="P113" s="190">
        <f>IF(AND(O5&lt;&gt;0,O6&lt;&gt;0),1,0)</f>
        <v>0</v>
      </c>
      <c r="Q113" s="193">
        <f>IF(AND(S3&gt;2,S5&gt;1,AND(O5=0,O6=0)),1,0)</f>
        <v>0</v>
      </c>
      <c r="R113" s="193">
        <f>IF(AND(O5&lt;&gt;0,OR(P2&lt;&gt;P5,Q2&lt;&gt;Q5)),1,0)</f>
        <v>0</v>
      </c>
      <c r="S113" s="193">
        <f>IF(AND(O6&lt;&gt;0,OR(P2&lt;&gt;P6,Q2&lt;&gt;Q6)),1,0)</f>
        <v>0</v>
      </c>
    </row>
    <row r="114" spans="1:32" ht="33.75" customHeight="1" x14ac:dyDescent="0.2">
      <c r="A114" s="242">
        <f t="shared" si="19"/>
        <v>100</v>
      </c>
      <c r="B114" s="238" t="str">
        <f t="shared" si="18"/>
        <v>OK</v>
      </c>
      <c r="C114" s="491" t="s">
        <v>2315</v>
      </c>
      <c r="D114" s="491"/>
      <c r="E114" s="491"/>
      <c r="F114" s="491"/>
      <c r="G114" s="491"/>
      <c r="H114" s="491"/>
      <c r="I114" s="491"/>
      <c r="J114" s="491"/>
      <c r="L114" s="190">
        <f>IF(SUM(N114:Q114)&gt;0,1,0)</f>
        <v>0</v>
      </c>
      <c r="M114" s="190"/>
      <c r="N114" s="190">
        <f>IF(AND(S5=1,O7&lt;&gt;0),1,0)</f>
        <v>0</v>
      </c>
      <c r="O114" s="190">
        <f>IF(AND(S3&lt;3,O7&lt;&gt;0),1,0)</f>
        <v>0</v>
      </c>
      <c r="P114" s="190">
        <f>IF(AND(S3&gt;2,S5&gt;1,O7=0),1,0)</f>
        <v>0</v>
      </c>
      <c r="Q114" s="190">
        <f>IF(AND(O7&lt;&gt;0,OR(P2&lt;&gt;P7,Q2&lt;&gt;Q7)),1,0)</f>
        <v>0</v>
      </c>
      <c r="R114" s="190"/>
      <c r="S114" s="190"/>
      <c r="T114" s="190"/>
      <c r="U114" s="190"/>
    </row>
    <row r="115" spans="1:32" ht="33" customHeight="1" x14ac:dyDescent="0.2">
      <c r="A115" s="242">
        <f t="shared" si="19"/>
        <v>101</v>
      </c>
      <c r="B115" s="238" t="str">
        <f t="shared" si="18"/>
        <v>OK</v>
      </c>
      <c r="C115" s="491" t="s">
        <v>2316</v>
      </c>
      <c r="D115" s="491"/>
      <c r="E115" s="491"/>
      <c r="F115" s="491"/>
      <c r="G115" s="491"/>
      <c r="H115" s="491"/>
      <c r="I115" s="491"/>
      <c r="J115" s="491"/>
      <c r="L115" s="190">
        <f>MAX(N115:R115)</f>
        <v>0</v>
      </c>
      <c r="M115" s="190"/>
      <c r="N115" s="190">
        <f>IF(AND(S5=1,AA9="DA"),1,0)</f>
        <v>0</v>
      </c>
      <c r="O115" s="190">
        <f>IF(AND(S3&lt;3,AA9="DA"),1,0)</f>
        <v>0</v>
      </c>
      <c r="P115" s="190">
        <f>IF(AND(AA9="DA",S2&lt;&gt;10,S2&lt;&gt;11,S2&lt;&gt;20,S2&lt;&gt;30),1,0)</f>
        <v>0</v>
      </c>
      <c r="Q115" s="193">
        <f>IF(AND(AA9="NE",S2&lt;12,S3&gt;2,S5&gt;1),1,0)</f>
        <v>0</v>
      </c>
      <c r="R115" s="190"/>
      <c r="S115" s="190"/>
      <c r="T115" s="190"/>
    </row>
    <row r="116" spans="1:32" ht="39" customHeight="1" x14ac:dyDescent="0.2">
      <c r="A116" s="242">
        <f t="shared" si="19"/>
        <v>102</v>
      </c>
      <c r="B116" s="238" t="str">
        <f t="shared" si="18"/>
        <v>OK</v>
      </c>
      <c r="C116" s="491" t="s">
        <v>2438</v>
      </c>
      <c r="D116" s="491"/>
      <c r="E116" s="491"/>
      <c r="F116" s="491"/>
      <c r="G116" s="491"/>
      <c r="H116" s="491"/>
      <c r="I116" s="491"/>
      <c r="J116" s="491"/>
      <c r="L116" s="190">
        <f>MAX(N116:R116)</f>
        <v>0</v>
      </c>
      <c r="M116" s="190"/>
      <c r="N116" s="190">
        <f>IF(AND(S2&lt;&gt;10,S2&lt;&gt;11,S2&lt;&gt;20,S2&lt;&gt;30,Y9="DA"),1,0)</f>
        <v>0</v>
      </c>
      <c r="O116" s="190">
        <f>IF(AND(Y9="DA",RefStr!C19&lt;2),1,0)</f>
        <v>0</v>
      </c>
      <c r="P116" s="190">
        <f>IF(AND(RefStr!C19&gt;1,Y9&lt;&gt;"DA",S2=10,S6&lt;&gt;"DA"),1,0)</f>
        <v>0</v>
      </c>
      <c r="Q116" s="193">
        <f>IF(AND(RefStr!C19&gt;1,Y9&lt;&gt;"DA",S2=11,S6&lt;&gt;"DA"),1,0)</f>
        <v>0</v>
      </c>
      <c r="R116" s="193">
        <f>IF(AND(S6="DA",Y9="DA"),1,0)</f>
        <v>0</v>
      </c>
      <c r="S116" s="190"/>
      <c r="T116" s="190"/>
      <c r="U116" s="190"/>
      <c r="V116" s="190"/>
      <c r="W116" s="190"/>
    </row>
    <row r="117" spans="1:32" ht="42" customHeight="1" x14ac:dyDescent="0.2">
      <c r="A117" s="242">
        <f t="shared" si="19"/>
        <v>103</v>
      </c>
      <c r="B117" s="238" t="str">
        <f t="shared" si="18"/>
        <v>OK</v>
      </c>
      <c r="C117" s="491" t="s">
        <v>2129</v>
      </c>
      <c r="D117" s="491"/>
      <c r="E117" s="491"/>
      <c r="F117" s="491"/>
      <c r="G117" s="491"/>
      <c r="H117" s="491"/>
      <c r="I117" s="491"/>
      <c r="J117" s="491"/>
      <c r="L117" s="190">
        <f>MAX(N117:S117)</f>
        <v>0</v>
      </c>
      <c r="M117" s="190"/>
      <c r="N117" s="190">
        <f>IF(AND(RefStr!C19=1,Y4="DA"),1,0)</f>
        <v>0</v>
      </c>
      <c r="O117" s="190">
        <f>IF(AND(Y4="DA",S2&lt;&gt;10,S2&lt;&gt;11,S2&lt;&gt;20,S2&lt;&gt;30),1,0)</f>
        <v>0</v>
      </c>
      <c r="P117" s="190">
        <f>IF(AND(S2=10,RefStr!C19&gt;1,Y4&lt;&gt; "DA"),1,0)</f>
        <v>0</v>
      </c>
      <c r="Q117" s="193">
        <f>IF(AND(S2=11,RefStr!C19&gt;1,Y4&lt;&gt; "DA"),1,0)</f>
        <v>0</v>
      </c>
      <c r="R117" s="190"/>
      <c r="S117" s="190"/>
      <c r="T117" s="190"/>
      <c r="U117" s="190"/>
      <c r="V117" s="190"/>
      <c r="W117" s="190"/>
      <c r="AA117" s="190"/>
      <c r="AB117" s="190"/>
      <c r="AC117" s="190"/>
      <c r="AD117" s="190"/>
      <c r="AE117" s="190"/>
      <c r="AF117" s="190"/>
    </row>
    <row r="118" spans="1:32" ht="39.950000000000003" customHeight="1" x14ac:dyDescent="0.2">
      <c r="A118" s="242">
        <f t="shared" si="19"/>
        <v>104</v>
      </c>
      <c r="B118" s="238" t="str">
        <f t="shared" si="18"/>
        <v>OK</v>
      </c>
      <c r="C118" s="491" t="s">
        <v>787</v>
      </c>
      <c r="D118" s="491"/>
      <c r="E118" s="491"/>
      <c r="F118" s="491"/>
      <c r="G118" s="491"/>
      <c r="H118" s="491"/>
      <c r="I118" s="491"/>
      <c r="J118" s="491"/>
      <c r="L118" s="190">
        <f>MAX(N118:S118)</f>
        <v>0</v>
      </c>
      <c r="M118" s="190"/>
      <c r="N118" s="190">
        <f>IF(AND(S2=11,S5=3),1,0)</f>
        <v>0</v>
      </c>
      <c r="O118" s="190"/>
      <c r="P118" s="190"/>
      <c r="R118" s="190"/>
      <c r="S118" s="190"/>
      <c r="T118" s="190"/>
      <c r="U118" s="190"/>
      <c r="V118" s="190"/>
      <c r="W118" s="190"/>
      <c r="AA118" s="190"/>
      <c r="AB118" s="190"/>
      <c r="AC118" s="190"/>
      <c r="AD118" s="190"/>
      <c r="AE118" s="190"/>
      <c r="AF118" s="190"/>
    </row>
    <row r="119" spans="1:32" ht="109.5" customHeight="1" x14ac:dyDescent="0.2">
      <c r="A119" s="242">
        <f t="shared" si="19"/>
        <v>105</v>
      </c>
      <c r="B119" s="238" t="str">
        <f t="shared" si="18"/>
        <v>OK</v>
      </c>
      <c r="C119" s="491" t="s">
        <v>695</v>
      </c>
      <c r="D119" s="491"/>
      <c r="E119" s="491"/>
      <c r="F119" s="491"/>
      <c r="G119" s="491"/>
      <c r="H119" s="491"/>
      <c r="I119" s="491"/>
      <c r="J119" s="491"/>
      <c r="L119" s="190">
        <f>MAX(N119:O119,Q119:S119)</f>
        <v>0</v>
      </c>
      <c r="M119" s="190">
        <f>P119</f>
        <v>0</v>
      </c>
      <c r="N119" s="190">
        <f>IF(OR(P8&gt;12,P8&lt;0,Q8&lt;=0,Q8&gt;U119,Q8&lt;V119,S8&gt;=S9),1,0)</f>
        <v>0</v>
      </c>
      <c r="O119" s="193">
        <f>IF(AND(P8 = 0,MAX(P2:P7)=1),1,0)</f>
        <v>0</v>
      </c>
      <c r="P119" s="190">
        <f>IF(AND(S2=10,OR(MONTH(S9)&lt;&gt;12,DAY(S9)&lt;&gt;31)),1,0)</f>
        <v>0</v>
      </c>
      <c r="Q119" s="190">
        <f>IF(AND(S2=11,S5=1,OR(MONTH(S9)&lt;&gt;12,DAY(S9)&lt;&gt;31)),1,0)</f>
        <v>0</v>
      </c>
      <c r="R119" s="193">
        <f>IF(AND(S2=11,MONTH(S9)=12,DAY(S9)=31,RefStr!C19=2),1,0)</f>
        <v>0</v>
      </c>
      <c r="U119" s="191">
        <f>ROUND((S9-S8+20)/30,0)</f>
        <v>13</v>
      </c>
      <c r="V119" s="193">
        <f>ROUND((S9-S8-20)/30,0)</f>
        <v>11</v>
      </c>
      <c r="W119" s="190"/>
      <c r="X119" s="190"/>
      <c r="Y119" s="190"/>
      <c r="Z119" s="190"/>
    </row>
    <row r="120" spans="1:32" ht="102" customHeight="1" x14ac:dyDescent="0.2">
      <c r="A120" s="242">
        <f t="shared" si="19"/>
        <v>106</v>
      </c>
      <c r="B120" s="238" t="str">
        <f t="shared" ca="1" si="18"/>
        <v>OK</v>
      </c>
      <c r="C120" s="491" t="s">
        <v>1735</v>
      </c>
      <c r="D120" s="491"/>
      <c r="E120" s="491"/>
      <c r="F120" s="491"/>
      <c r="G120" s="491"/>
      <c r="H120" s="491"/>
      <c r="I120" s="491"/>
      <c r="J120" s="491"/>
      <c r="L120" s="195">
        <f ca="1">MAX(N120:N120)</f>
        <v>0</v>
      </c>
      <c r="M120" s="195"/>
      <c r="N120" s="195">
        <f ca="1">IF(ISERROR(P120),0,1)</f>
        <v>0</v>
      </c>
      <c r="O120" s="190" t="str">
        <f ca="1">CELL("filename")</f>
        <v>C:\Users\vidic_sanjin\OneDrive - Poslovni sustavi doo\Dokumenti\web\webps\2023\[GFI-POD 2021-jo.xls]RefStr</v>
      </c>
      <c r="P120" s="190" t="e">
        <f ca="1">FIND(".XLSX", UPPER(O120),1)</f>
        <v>#VALUE!</v>
      </c>
      <c r="Q120" s="190"/>
      <c r="R120" s="190"/>
      <c r="S120" s="190"/>
      <c r="T120" s="190"/>
      <c r="U120" s="190"/>
      <c r="X120" s="190"/>
      <c r="Y120" s="190"/>
      <c r="Z120" s="190"/>
      <c r="AA120" s="190"/>
      <c r="AB120" s="190"/>
      <c r="AC120" s="190"/>
    </row>
    <row r="121" spans="1:32" ht="56.25" customHeight="1" x14ac:dyDescent="0.2">
      <c r="A121" s="242">
        <f t="shared" si="19"/>
        <v>107</v>
      </c>
      <c r="B121" s="238" t="str">
        <f t="shared" si="18"/>
        <v>OK</v>
      </c>
      <c r="C121" s="491" t="s">
        <v>329</v>
      </c>
      <c r="D121" s="491"/>
      <c r="E121" s="491"/>
      <c r="F121" s="491"/>
      <c r="G121" s="491"/>
      <c r="H121" s="491"/>
      <c r="I121" s="491"/>
      <c r="J121" s="491"/>
      <c r="L121" s="190">
        <f>MAX(N121:S121)</f>
        <v>0</v>
      </c>
      <c r="M121" s="190"/>
      <c r="N121" s="190">
        <f>IF(SUM(Skriveni!I2:I434)&lt;&gt;0,1,0)</f>
        <v>0</v>
      </c>
      <c r="O121" s="190"/>
      <c r="Q121" s="190"/>
      <c r="R121" s="190"/>
      <c r="S121" s="190"/>
      <c r="T121" s="190"/>
      <c r="U121" s="190"/>
      <c r="V121" s="190"/>
      <c r="Z121" s="190"/>
      <c r="AA121" s="190"/>
      <c r="AB121" s="190"/>
      <c r="AC121" s="190"/>
      <c r="AD121" s="190"/>
      <c r="AE121" s="190"/>
    </row>
    <row r="122" spans="1:32" ht="63" customHeight="1" x14ac:dyDescent="0.2">
      <c r="A122" s="243">
        <f t="shared" si="19"/>
        <v>108</v>
      </c>
      <c r="B122" s="239" t="str">
        <f t="shared" si="18"/>
        <v>OK</v>
      </c>
      <c r="C122" s="496" t="s">
        <v>1100</v>
      </c>
      <c r="D122" s="496"/>
      <c r="E122" s="496"/>
      <c r="F122" s="496"/>
      <c r="G122" s="496"/>
      <c r="H122" s="496"/>
      <c r="I122" s="496"/>
      <c r="J122" s="496"/>
      <c r="L122" s="190">
        <v>0</v>
      </c>
      <c r="M122" s="190">
        <f>MAX(N122:O122)</f>
        <v>0</v>
      </c>
      <c r="N122" s="190">
        <f>IF(AND(RDG!I21&gt;40000,OR(P9=0,P10=0)),1,0)</f>
        <v>0</v>
      </c>
      <c r="O122" s="190">
        <f>IF(AND(RDG!J21&gt;40000,OR(Q9=0,Q10=0)),1,0)</f>
        <v>0</v>
      </c>
      <c r="P122" s="190"/>
    </row>
    <row r="123" spans="1:32" ht="5.0999999999999996" customHeight="1" x14ac:dyDescent="0.2"/>
  </sheetData>
  <sheetProtection password="C79A" sheet="1" objects="1" scenarios="1"/>
  <mergeCells count="119">
    <mergeCell ref="C106:J106"/>
    <mergeCell ref="C107:J107"/>
    <mergeCell ref="C44:J44"/>
    <mergeCell ref="A43:J43"/>
    <mergeCell ref="C56:J56"/>
    <mergeCell ref="C98:J98"/>
    <mergeCell ref="C91:J91"/>
    <mergeCell ref="C92:J92"/>
    <mergeCell ref="C102:J102"/>
    <mergeCell ref="C105:J105"/>
    <mergeCell ref="C12:J12"/>
    <mergeCell ref="C49:J49"/>
    <mergeCell ref="C40:J40"/>
    <mergeCell ref="C42:J42"/>
    <mergeCell ref="C21:J21"/>
    <mergeCell ref="C39:J39"/>
    <mergeCell ref="C37:J37"/>
    <mergeCell ref="C38:J38"/>
    <mergeCell ref="C46:J46"/>
    <mergeCell ref="C47:J47"/>
    <mergeCell ref="C9:J10"/>
    <mergeCell ref="C59:J59"/>
    <mergeCell ref="C63:J63"/>
    <mergeCell ref="C45:J45"/>
    <mergeCell ref="C58:J58"/>
    <mergeCell ref="A11:J11"/>
    <mergeCell ref="A9:B10"/>
    <mergeCell ref="C41:J41"/>
    <mergeCell ref="C52:J52"/>
    <mergeCell ref="C53:J53"/>
    <mergeCell ref="A3:H8"/>
    <mergeCell ref="I8:J8"/>
    <mergeCell ref="I3:J3"/>
    <mergeCell ref="I5:J5"/>
    <mergeCell ref="I6:J6"/>
    <mergeCell ref="C104:J104"/>
    <mergeCell ref="C103:J103"/>
    <mergeCell ref="C101:J101"/>
    <mergeCell ref="C78:J78"/>
    <mergeCell ref="C83:J83"/>
    <mergeCell ref="C100:J100"/>
    <mergeCell ref="C93:J93"/>
    <mergeCell ref="C94:J94"/>
    <mergeCell ref="C79:J79"/>
    <mergeCell ref="C88:J88"/>
    <mergeCell ref="C71:J71"/>
    <mergeCell ref="C97:J97"/>
    <mergeCell ref="C99:J99"/>
    <mergeCell ref="C81:J81"/>
    <mergeCell ref="C96:J96"/>
    <mergeCell ref="C51:J51"/>
    <mergeCell ref="C57:J57"/>
    <mergeCell ref="C122:J122"/>
    <mergeCell ref="C121:J121"/>
    <mergeCell ref="C120:J120"/>
    <mergeCell ref="C110:J110"/>
    <mergeCell ref="C112:J112"/>
    <mergeCell ref="C111:J111"/>
    <mergeCell ref="C119:J119"/>
    <mergeCell ref="C118:J118"/>
    <mergeCell ref="C68:J68"/>
    <mergeCell ref="C54:J54"/>
    <mergeCell ref="C55:J55"/>
    <mergeCell ref="C64:J64"/>
    <mergeCell ref="C65:J65"/>
    <mergeCell ref="C48:J48"/>
    <mergeCell ref="C60:J60"/>
    <mergeCell ref="C61:J61"/>
    <mergeCell ref="C62:J62"/>
    <mergeCell ref="C50:J50"/>
    <mergeCell ref="C108:J108"/>
    <mergeCell ref="C117:J117"/>
    <mergeCell ref="A109:J109"/>
    <mergeCell ref="C116:J116"/>
    <mergeCell ref="C113:J113"/>
    <mergeCell ref="C114:J114"/>
    <mergeCell ref="C115:J115"/>
    <mergeCell ref="C87:J87"/>
    <mergeCell ref="C85:J85"/>
    <mergeCell ref="C95:J95"/>
    <mergeCell ref="C76:J76"/>
    <mergeCell ref="C90:J90"/>
    <mergeCell ref="C89:J89"/>
    <mergeCell ref="C77:J77"/>
    <mergeCell ref="C82:J82"/>
    <mergeCell ref="C86:J86"/>
    <mergeCell ref="C80:J80"/>
    <mergeCell ref="C84:J84"/>
    <mergeCell ref="C36:J36"/>
    <mergeCell ref="C33:J33"/>
    <mergeCell ref="C34:J34"/>
    <mergeCell ref="C75:J75"/>
    <mergeCell ref="C70:J70"/>
    <mergeCell ref="C67:J67"/>
    <mergeCell ref="C69:J69"/>
    <mergeCell ref="C74:J74"/>
    <mergeCell ref="C72:J72"/>
    <mergeCell ref="A73:J73"/>
    <mergeCell ref="C26:J26"/>
    <mergeCell ref="C28:J28"/>
    <mergeCell ref="C27:J27"/>
    <mergeCell ref="C35:J35"/>
    <mergeCell ref="C32:J32"/>
    <mergeCell ref="C29:J29"/>
    <mergeCell ref="C31:J31"/>
    <mergeCell ref="C30:J30"/>
    <mergeCell ref="C66:J66"/>
    <mergeCell ref="C13:J13"/>
    <mergeCell ref="C19:J19"/>
    <mergeCell ref="C16:J16"/>
    <mergeCell ref="C18:J18"/>
    <mergeCell ref="C15:J15"/>
    <mergeCell ref="C17:J17"/>
    <mergeCell ref="C20:J20"/>
    <mergeCell ref="C25:J25"/>
    <mergeCell ref="C14:J14"/>
    <mergeCell ref="C22:J22"/>
    <mergeCell ref="C23:J23"/>
    <mergeCell ref="C24:J24"/>
  </mergeCells>
  <phoneticPr fontId="3" type="noConversion"/>
  <conditionalFormatting sqref="B110:B122 B74:B108 B44:B72 B12:B42">
    <cfRule type="cellIs" dxfId="1" priority="1" stopIfTrue="1" operator="equal">
      <formula>"Pogreška"</formula>
    </cfRule>
    <cfRule type="cellIs" dxfId="0" priority="2" stopIfTrue="1" operator="equal">
      <formula>"Provjera"</formula>
    </cfRule>
  </conditionalFormatting>
  <hyperlinks>
    <hyperlink ref="D2" location="Bilanca!A1" tooltip="Unos podataka u Bilancu" display="Bilanca"/>
    <hyperlink ref="C2" location="RefStr!A1" tooltip="Unos općih podataka na Referentnu stranicu" display="RefStr"/>
    <hyperlink ref="B2" location="Naslovna!A1" tooltip="Naslovna strana, unos općih podataka" display="Naslovna"/>
    <hyperlink ref="E2" location="RDG!A1" tooltip="Unos podataka u Račun dobiti i gubitka" display="RDG"/>
    <hyperlink ref="F2" location="Dodatni!A1" tooltip="Unos podataka u Dodatne podatke" display="PodDop"/>
    <hyperlink ref="G2" location="NT_I!A1" tooltip="Unos podataka u Novčani tijek po indirektnoj metodi" display="NT_I"/>
    <hyperlink ref="H2" location="NT_D!A1" tooltip="Unos podataka u Novčani tijek po direktnoj metodi" display="NT_D"/>
    <hyperlink ref="J2" location="Kont!A1" tooltip="Provjera pogrešaka i upozorenja na radnom listu Kontrole" display="Kont"/>
    <hyperlink ref="I2" location="PK!A1" tooltip="Unos podataka u obrazac Promjene kapitala" display="PK"/>
  </hyperlinks>
  <pageMargins left="0.59055118110236227" right="0.59055118110236227" top="0.59055118110236227" bottom="0.78740157480314965" header="0.39370078740157483" footer="0.59055118110236227"/>
  <pageSetup paperSize="9" scale="85"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J15"/>
  <sheetViews>
    <sheetView showGridLines="0" showRowColHeaders="0" workbookViewId="0">
      <pane ySplit="1" topLeftCell="A2" activePane="bottomLeft" state="frozen"/>
      <selection pane="bottomLeft" activeCell="C1" sqref="C1"/>
    </sheetView>
  </sheetViews>
  <sheetFormatPr defaultColWidth="0" defaultRowHeight="12.75" zeroHeight="1" x14ac:dyDescent="0.2"/>
  <cols>
    <col min="1" max="10" width="9.28515625" customWidth="1"/>
    <col min="11" max="11" width="0.85546875" customWidth="1"/>
  </cols>
  <sheetData>
    <row r="1" spans="1:10" ht="24.95" customHeight="1" x14ac:dyDescent="0.2">
      <c r="A1" s="139" t="s">
        <v>57</v>
      </c>
      <c r="B1" s="63" t="s">
        <v>56</v>
      </c>
      <c r="C1" s="63" t="s">
        <v>59</v>
      </c>
      <c r="D1" s="63" t="s">
        <v>2328</v>
      </c>
      <c r="E1" s="63" t="s">
        <v>794</v>
      </c>
      <c r="F1" s="63" t="s">
        <v>2824</v>
      </c>
      <c r="G1" s="63" t="s">
        <v>2748</v>
      </c>
      <c r="H1" s="63" t="s">
        <v>2749</v>
      </c>
      <c r="I1" s="63" t="s">
        <v>795</v>
      </c>
      <c r="J1" s="64" t="s">
        <v>58</v>
      </c>
    </row>
    <row r="2" spans="1:10" ht="63" customHeight="1" x14ac:dyDescent="0.2">
      <c r="A2" s="255" t="s">
        <v>1705</v>
      </c>
      <c r="B2" s="256"/>
      <c r="C2" s="256"/>
      <c r="D2" s="256"/>
      <c r="E2" s="256"/>
      <c r="F2" s="256"/>
      <c r="G2" s="256"/>
      <c r="H2" s="256"/>
      <c r="I2" s="256"/>
      <c r="J2" s="257"/>
    </row>
    <row r="3" spans="1:10" ht="20.25" customHeight="1" x14ac:dyDescent="0.2">
      <c r="A3" s="270" t="s">
        <v>1738</v>
      </c>
      <c r="B3" s="262"/>
      <c r="C3" s="271"/>
      <c r="D3" s="267" t="s">
        <v>60</v>
      </c>
      <c r="E3" s="268"/>
      <c r="F3" s="268"/>
      <c r="G3" s="268"/>
      <c r="H3" s="268"/>
      <c r="I3" s="268"/>
      <c r="J3" s="269"/>
    </row>
    <row r="4" spans="1:10" ht="33" customHeight="1" x14ac:dyDescent="0.2">
      <c r="A4" s="264" t="s">
        <v>1704</v>
      </c>
      <c r="B4" s="265"/>
      <c r="C4" s="265"/>
      <c r="D4" s="265"/>
      <c r="E4" s="265"/>
      <c r="F4" s="265"/>
      <c r="G4" s="265"/>
      <c r="H4" s="265"/>
      <c r="I4" s="265"/>
      <c r="J4" s="266"/>
    </row>
    <row r="5" spans="1:10" ht="18.75" customHeight="1" x14ac:dyDescent="0.2">
      <c r="A5" s="61" t="s">
        <v>2399</v>
      </c>
      <c r="B5" s="258" t="s">
        <v>53</v>
      </c>
      <c r="C5" s="259"/>
      <c r="D5" s="259"/>
      <c r="E5" s="259"/>
      <c r="F5" s="259"/>
      <c r="G5" s="259"/>
      <c r="H5" s="259"/>
      <c r="I5" s="259"/>
      <c r="J5" s="260"/>
    </row>
    <row r="6" spans="1:10" ht="18.75" hidden="1" customHeight="1" x14ac:dyDescent="0.2">
      <c r="A6" s="62" t="s">
        <v>55</v>
      </c>
      <c r="B6" s="261" t="s">
        <v>54</v>
      </c>
      <c r="C6" s="262"/>
      <c r="D6" s="262"/>
      <c r="E6" s="262"/>
      <c r="F6" s="262"/>
      <c r="G6" s="262"/>
      <c r="H6" s="262"/>
      <c r="I6" s="262"/>
      <c r="J6" s="263"/>
    </row>
    <row r="7" spans="1:10" ht="95.25" hidden="1" customHeight="1" x14ac:dyDescent="0.2">
      <c r="A7" s="62" t="s">
        <v>2659</v>
      </c>
      <c r="B7" s="252" t="s">
        <v>2660</v>
      </c>
      <c r="C7" s="253"/>
      <c r="D7" s="253"/>
      <c r="E7" s="253"/>
      <c r="F7" s="253"/>
      <c r="G7" s="253"/>
      <c r="H7" s="253"/>
      <c r="I7" s="253"/>
      <c r="J7" s="254"/>
    </row>
    <row r="8" spans="1:10" ht="36.75" hidden="1" customHeight="1" x14ac:dyDescent="0.2">
      <c r="A8" s="62" t="s">
        <v>2128</v>
      </c>
      <c r="B8" s="249" t="s">
        <v>1784</v>
      </c>
      <c r="C8" s="250"/>
      <c r="D8" s="250"/>
      <c r="E8" s="250"/>
      <c r="F8" s="250"/>
      <c r="G8" s="250"/>
      <c r="H8" s="250"/>
      <c r="I8" s="250"/>
      <c r="J8" s="251"/>
    </row>
    <row r="9" spans="1:10" ht="69.95" hidden="1" customHeight="1" x14ac:dyDescent="0.2">
      <c r="A9" s="62" t="s">
        <v>1139</v>
      </c>
      <c r="B9" s="249" t="s">
        <v>1542</v>
      </c>
      <c r="C9" s="250"/>
      <c r="D9" s="250"/>
      <c r="E9" s="250"/>
      <c r="F9" s="250"/>
      <c r="G9" s="250"/>
      <c r="H9" s="250"/>
      <c r="I9" s="250"/>
      <c r="J9" s="251"/>
    </row>
    <row r="10" spans="1:10" ht="76.5" hidden="1" customHeight="1" x14ac:dyDescent="0.2">
      <c r="A10" s="62" t="s">
        <v>2914</v>
      </c>
      <c r="B10" s="249" t="s">
        <v>703</v>
      </c>
      <c r="C10" s="250"/>
      <c r="D10" s="250"/>
      <c r="E10" s="250"/>
      <c r="F10" s="250"/>
      <c r="G10" s="250"/>
      <c r="H10" s="250"/>
      <c r="I10" s="250"/>
      <c r="J10" s="251"/>
    </row>
    <row r="11" spans="1:10" ht="30.95" customHeight="1" x14ac:dyDescent="0.2">
      <c r="A11" s="62" t="s">
        <v>362</v>
      </c>
      <c r="B11" s="249" t="s">
        <v>363</v>
      </c>
      <c r="C11" s="250"/>
      <c r="D11" s="250"/>
      <c r="E11" s="250"/>
      <c r="F11" s="250"/>
      <c r="G11" s="250"/>
      <c r="H11" s="250"/>
      <c r="I11" s="250"/>
      <c r="J11" s="251"/>
    </row>
    <row r="12" spans="1:10" ht="30.95" customHeight="1" x14ac:dyDescent="0.2">
      <c r="A12" s="62" t="s">
        <v>594</v>
      </c>
      <c r="B12" s="249" t="s">
        <v>595</v>
      </c>
      <c r="C12" s="250"/>
      <c r="D12" s="250"/>
      <c r="E12" s="250"/>
      <c r="F12" s="250"/>
      <c r="G12" s="250"/>
      <c r="H12" s="250"/>
      <c r="I12" s="250"/>
      <c r="J12" s="251"/>
    </row>
    <row r="13" spans="1:10" ht="58.5" customHeight="1" x14ac:dyDescent="0.2">
      <c r="A13" s="62" t="s">
        <v>1085</v>
      </c>
      <c r="B13" s="249" t="s">
        <v>365</v>
      </c>
      <c r="C13" s="250"/>
      <c r="D13" s="250"/>
      <c r="E13" s="250"/>
      <c r="F13" s="250"/>
      <c r="G13" s="250"/>
      <c r="H13" s="250"/>
      <c r="I13" s="250"/>
      <c r="J13" s="251"/>
    </row>
    <row r="14" spans="1:10" ht="29.25" hidden="1" customHeight="1" x14ac:dyDescent="0.2">
      <c r="A14" s="62" t="s">
        <v>2522</v>
      </c>
      <c r="B14" s="249"/>
      <c r="C14" s="250"/>
      <c r="D14" s="250"/>
      <c r="E14" s="250"/>
      <c r="F14" s="250"/>
      <c r="G14" s="250"/>
      <c r="H14" s="250"/>
      <c r="I14" s="250"/>
      <c r="J14" s="251"/>
    </row>
    <row r="15" spans="1:10" ht="6" customHeight="1" x14ac:dyDescent="0.2"/>
  </sheetData>
  <sheetProtection password="C79A" sheet="1" objects="1" scenarios="1"/>
  <mergeCells count="14">
    <mergeCell ref="A2:J2"/>
    <mergeCell ref="B5:J5"/>
    <mergeCell ref="B6:J6"/>
    <mergeCell ref="A4:J4"/>
    <mergeCell ref="D3:J3"/>
    <mergeCell ref="A3:C3"/>
    <mergeCell ref="B14:J14"/>
    <mergeCell ref="B9:J9"/>
    <mergeCell ref="B8:J8"/>
    <mergeCell ref="B7:J7"/>
    <mergeCell ref="B11:J11"/>
    <mergeCell ref="B10:J10"/>
    <mergeCell ref="B12:J12"/>
    <mergeCell ref="B13:J13"/>
  </mergeCells>
  <phoneticPr fontId="3" type="noConversion"/>
  <hyperlinks>
    <hyperlink ref="D3" r:id="rId1"/>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 ref="D3:J3" r:id="rId2" tooltip="Link na stranicu FINE gdje je objavljen obrazac i upute o popunjavanju" display="http://www.fina.hr/Default.aspx?sec=915"/>
  </hyperlinks>
  <printOptions horizontalCentered="1"/>
  <pageMargins left="0.59055118110236227" right="0.59055118110236227" top="0.78740157480314965" bottom="0.98425196850393704" header="0.59055118110236227" footer="0.78740157480314965"/>
  <pageSetup paperSize="9" scale="98" fitToHeight="0" orientation="portrait" horizontalDpi="1200" verticalDpi="1200" r:id="rId3"/>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Q1603"/>
  <sheetViews>
    <sheetView showGridLines="0" showRowColHeaders="0" tabSelected="1" workbookViewId="0">
      <pane ySplit="3" topLeftCell="A49" activePane="bottomLeft" state="frozen"/>
      <selection pane="bottomLeft" activeCell="I68" sqref="I68"/>
    </sheetView>
  </sheetViews>
  <sheetFormatPr defaultColWidth="0" defaultRowHeight="12.75" zeroHeight="1" x14ac:dyDescent="0.2"/>
  <cols>
    <col min="1" max="1" width="10.7109375" style="24" customWidth="1"/>
    <col min="2" max="2" width="18.140625" style="24" customWidth="1"/>
    <col min="3" max="14" width="6.7109375" style="24" customWidth="1"/>
    <col min="15" max="15" width="2.7109375" style="24" customWidth="1"/>
    <col min="16" max="17" width="9.140625" style="50" hidden="1" customWidth="1"/>
    <col min="18" max="16384" width="9.140625" style="105" hidden="1"/>
  </cols>
  <sheetData>
    <row r="1" spans="1:17" s="144" customFormat="1" ht="24.95" customHeight="1" x14ac:dyDescent="0.2">
      <c r="A1" s="139" t="s">
        <v>57</v>
      </c>
      <c r="B1" s="63" t="s">
        <v>56</v>
      </c>
      <c r="C1" s="63" t="s">
        <v>59</v>
      </c>
      <c r="D1" s="63" t="s">
        <v>2328</v>
      </c>
      <c r="E1" s="63" t="s">
        <v>794</v>
      </c>
      <c r="F1" s="63" t="s">
        <v>2824</v>
      </c>
      <c r="G1" s="63" t="s">
        <v>2748</v>
      </c>
      <c r="H1" s="63" t="s">
        <v>2749</v>
      </c>
      <c r="I1" s="63" t="s">
        <v>795</v>
      </c>
      <c r="J1" s="64" t="s">
        <v>58</v>
      </c>
      <c r="K1" s="140"/>
      <c r="L1" s="140"/>
      <c r="M1" s="140"/>
      <c r="N1" s="140"/>
      <c r="O1" s="3"/>
      <c r="P1" s="143"/>
      <c r="Q1" s="48">
        <f>IF(C4&lt;&gt;"",IF(YEAR(C4)&lt;2021,2021,YEAR(C4)),"")</f>
        <v>2021</v>
      </c>
    </row>
    <row r="2" spans="1:17" s="144" customFormat="1" ht="54" customHeight="1" x14ac:dyDescent="0.2">
      <c r="A2" s="346" t="s">
        <v>696</v>
      </c>
      <c r="B2" s="347"/>
      <c r="C2" s="347"/>
      <c r="D2" s="347"/>
      <c r="E2" s="347"/>
      <c r="F2" s="347"/>
      <c r="G2" s="347"/>
      <c r="H2" s="347"/>
      <c r="I2" s="347"/>
      <c r="J2" s="347"/>
      <c r="K2" s="347"/>
      <c r="L2" s="347"/>
      <c r="M2" s="347"/>
      <c r="N2" s="348"/>
      <c r="O2" s="3"/>
      <c r="P2" s="50"/>
      <c r="Q2" s="49">
        <f>IF(F4&lt;&gt;"", YEAR(F4), "")</f>
        <v>2021</v>
      </c>
    </row>
    <row r="3" spans="1:17" s="144" customFormat="1" ht="22.5" customHeight="1" x14ac:dyDescent="0.2">
      <c r="A3" s="354" t="str">
        <f ca="1" xml:space="preserve"> IF(ISERROR(Kont!J4),"Postoje neke pogreške u Excel datoteci, takva neće moći biti učitana!!!",IF(Kont!J4&gt;0, "Obrazac nije popunjen ili sadrži neke pogreške! Ako ste završili s popunjavanjem, provjerite radni list Kont. Broj pogreški: " &amp; Kont!J4,"Sve kontrole su zadovoljene, obrazac je ispravan"))</f>
        <v>Sve kontrole su zadovoljene, obrazac je ispravan</v>
      </c>
      <c r="B3" s="355"/>
      <c r="C3" s="355"/>
      <c r="D3" s="355"/>
      <c r="E3" s="355"/>
      <c r="F3" s="355"/>
      <c r="G3" s="355"/>
      <c r="H3" s="355"/>
      <c r="I3" s="355"/>
      <c r="J3" s="355"/>
      <c r="K3" s="355"/>
      <c r="L3" s="355"/>
      <c r="M3" s="355"/>
      <c r="N3" s="356"/>
      <c r="O3" s="3"/>
      <c r="P3" s="50"/>
      <c r="Q3" s="50"/>
    </row>
    <row r="4" spans="1:17" s="144" customFormat="1" ht="15" customHeight="1" x14ac:dyDescent="0.2">
      <c r="A4" s="349" t="s">
        <v>550</v>
      </c>
      <c r="B4" s="350"/>
      <c r="C4" s="344">
        <v>44197</v>
      </c>
      <c r="D4" s="345"/>
      <c r="E4" s="7" t="s">
        <v>560</v>
      </c>
      <c r="F4" s="344">
        <v>44561</v>
      </c>
      <c r="G4" s="345"/>
      <c r="H4" s="351" t="s">
        <v>199</v>
      </c>
      <c r="I4" s="299"/>
      <c r="J4" s="299"/>
      <c r="K4" s="299"/>
      <c r="L4" s="299"/>
      <c r="M4" s="299"/>
      <c r="N4" s="299"/>
      <c r="O4" s="3"/>
      <c r="P4" s="50"/>
      <c r="Q4" s="50"/>
    </row>
    <row r="5" spans="1:17" s="144" customFormat="1" ht="5.0999999999999996" customHeight="1" x14ac:dyDescent="0.2">
      <c r="A5" s="6"/>
      <c r="B5" s="6"/>
      <c r="C5" s="6"/>
      <c r="D5" s="6"/>
      <c r="E5" s="8"/>
      <c r="F5" s="8"/>
      <c r="G5" s="6"/>
      <c r="H5" s="6"/>
      <c r="I5" s="6"/>
      <c r="J5" s="145"/>
      <c r="K5" s="145"/>
      <c r="L5" s="145"/>
      <c r="M5" s="145"/>
      <c r="N5" s="145"/>
      <c r="O5" s="3"/>
      <c r="P5" s="50"/>
      <c r="Q5" s="50"/>
    </row>
    <row r="6" spans="1:17" s="144" customFormat="1" ht="14.25" customHeight="1" x14ac:dyDescent="0.2">
      <c r="A6" s="9"/>
      <c r="B6" s="6"/>
      <c r="C6" s="6"/>
      <c r="D6" s="6"/>
      <c r="E6" s="6"/>
      <c r="F6" s="6"/>
      <c r="G6" s="6"/>
      <c r="H6" s="6"/>
      <c r="I6" s="6"/>
      <c r="J6" s="145"/>
      <c r="K6" s="145"/>
      <c r="L6" s="145"/>
      <c r="M6" s="43" t="s">
        <v>671</v>
      </c>
      <c r="N6" s="32" t="s">
        <v>1587</v>
      </c>
      <c r="O6" s="3"/>
      <c r="P6" s="50"/>
      <c r="Q6" s="50"/>
    </row>
    <row r="7" spans="1:17" s="144" customFormat="1" ht="15" customHeight="1" x14ac:dyDescent="0.2">
      <c r="A7" s="349" t="s">
        <v>559</v>
      </c>
      <c r="B7" s="350"/>
      <c r="C7" s="244">
        <v>5</v>
      </c>
      <c r="D7" s="352" t="str">
        <f>IF(C7="","Vrsta poslovnog subjekta nije upisana",IF(ISNA(LOOKUP(C7,A91:A107,A91:A107)),"Upisana je nepostojeća ili neprepoznatljiva vrsta poslovnog subjekta",IF(LOOKUP(C7,A91:A107,A91:A107)&lt;&gt;C7,"Upisana je nepostojeća ili neprepoznatljiva vrsta poslovnog subjekta",LOOKUP(C7,A91:A107,B91:B107))))</f>
        <v>Društvo s ograničenom odgovornošću</v>
      </c>
      <c r="E7" s="353"/>
      <c r="F7" s="353"/>
      <c r="G7" s="353"/>
      <c r="H7" s="353"/>
      <c r="I7" s="353"/>
      <c r="J7" s="353"/>
      <c r="K7" s="353"/>
      <c r="L7" s="353"/>
      <c r="M7" s="353"/>
      <c r="N7" s="353"/>
      <c r="O7" s="3"/>
      <c r="P7" s="50"/>
      <c r="Q7" s="50"/>
    </row>
    <row r="8" spans="1:17" ht="5.0999999999999996" customHeight="1" x14ac:dyDescent="0.2">
      <c r="A8" s="146"/>
      <c r="B8" s="146"/>
      <c r="C8" s="146"/>
      <c r="D8" s="146"/>
      <c r="E8" s="147"/>
      <c r="F8" s="148"/>
      <c r="G8" s="149"/>
      <c r="H8" s="150"/>
      <c r="I8" s="150"/>
      <c r="J8" s="150"/>
      <c r="K8" s="150"/>
      <c r="L8" s="150"/>
      <c r="M8" s="150"/>
      <c r="N8" s="150"/>
      <c r="O8" s="151"/>
    </row>
    <row r="9" spans="1:17" ht="15.75" thickBot="1" x14ac:dyDescent="0.25">
      <c r="A9" s="152"/>
      <c r="B9" s="152"/>
      <c r="C9" s="152"/>
      <c r="D9" s="152"/>
      <c r="E9" s="153"/>
      <c r="F9" s="154"/>
      <c r="G9" s="155"/>
      <c r="H9" s="152"/>
      <c r="I9" s="152"/>
      <c r="J9" s="152"/>
      <c r="K9" s="152"/>
      <c r="L9" s="152"/>
      <c r="M9" s="152"/>
      <c r="N9" s="156"/>
      <c r="P9" s="50" t="s">
        <v>884</v>
      </c>
      <c r="Q9" s="51">
        <f>IF(C4&lt;&gt;"",YEAR(C4)/100+MONTH(C4)/2+DAY(C4),0)</f>
        <v>21.71</v>
      </c>
    </row>
    <row r="10" spans="1:17" ht="23.25" customHeight="1" thickBot="1" x14ac:dyDescent="0.25">
      <c r="A10" s="360" t="s">
        <v>732</v>
      </c>
      <c r="B10" s="361"/>
      <c r="C10" s="157"/>
      <c r="D10" s="157"/>
      <c r="E10" s="153"/>
      <c r="F10" s="154"/>
      <c r="G10" s="155"/>
      <c r="H10" s="152"/>
      <c r="I10" s="152"/>
      <c r="J10" s="152"/>
      <c r="K10" s="357" t="s">
        <v>2276</v>
      </c>
      <c r="L10" s="358"/>
      <c r="M10" s="358"/>
      <c r="N10" s="359"/>
      <c r="P10" s="50" t="s">
        <v>885</v>
      </c>
      <c r="Q10" s="51">
        <f>IF(F4&lt;&gt;"",YEAR(F4)/100+MONTH(F4)/2+DAY(F4),0)</f>
        <v>57.21</v>
      </c>
    </row>
    <row r="11" spans="1:17" ht="30" customHeight="1" x14ac:dyDescent="0.2">
      <c r="A11" s="373" t="s">
        <v>1979</v>
      </c>
      <c r="B11" s="374"/>
      <c r="C11" s="374"/>
      <c r="D11" s="374"/>
      <c r="E11" s="374"/>
      <c r="F11" s="374"/>
      <c r="G11" s="374"/>
      <c r="H11" s="374"/>
      <c r="I11" s="374"/>
      <c r="J11" s="374"/>
      <c r="K11" s="374"/>
      <c r="L11" s="374"/>
      <c r="M11" s="374"/>
      <c r="N11" s="374"/>
      <c r="P11" s="50" t="s">
        <v>886</v>
      </c>
      <c r="Q11" s="51">
        <f>INT(VALUE(C17))</f>
        <v>10</v>
      </c>
    </row>
    <row r="12" spans="1:17" ht="20.100000000000001" customHeight="1" x14ac:dyDescent="0.2">
      <c r="D12" s="152"/>
      <c r="E12" s="158" t="s">
        <v>1326</v>
      </c>
      <c r="F12" s="369">
        <v>2021</v>
      </c>
      <c r="G12" s="370"/>
      <c r="H12" s="362" t="s">
        <v>1983</v>
      </c>
      <c r="I12" s="363"/>
      <c r="J12" s="363"/>
      <c r="K12" s="152"/>
      <c r="L12" s="152"/>
      <c r="M12" s="152"/>
      <c r="N12" s="152"/>
      <c r="P12" s="50" t="s">
        <v>1561</v>
      </c>
      <c r="Q12" s="51">
        <f>INT(VALUE(H27))/10</f>
        <v>431424.7</v>
      </c>
    </row>
    <row r="13" spans="1:17" ht="9.9499999999999993" customHeight="1" x14ac:dyDescent="0.2">
      <c r="D13" s="152"/>
      <c r="E13" s="158"/>
      <c r="H13" s="23"/>
      <c r="I13" s="159"/>
      <c r="J13" s="159"/>
      <c r="K13" s="152"/>
      <c r="L13" s="152"/>
      <c r="M13" s="152"/>
      <c r="N13" s="152"/>
      <c r="P13" s="50" t="s">
        <v>1561</v>
      </c>
      <c r="Q13" s="51">
        <f>INT(VALUE(M27))/50</f>
        <v>806764.62</v>
      </c>
    </row>
    <row r="14" spans="1:17" ht="15" x14ac:dyDescent="0.2">
      <c r="A14" s="377" t="s">
        <v>1312</v>
      </c>
      <c r="B14" s="377"/>
      <c r="C14" s="377"/>
      <c r="D14" s="160"/>
      <c r="E14" s="161"/>
      <c r="F14" s="375"/>
      <c r="G14" s="376"/>
      <c r="H14" s="376"/>
      <c r="I14" s="152"/>
      <c r="J14" s="367" t="s">
        <v>1978</v>
      </c>
      <c r="K14" s="368"/>
      <c r="L14" s="368"/>
      <c r="M14" s="368"/>
      <c r="N14" s="368"/>
      <c r="P14" s="50" t="s">
        <v>1316</v>
      </c>
      <c r="Q14" s="51">
        <f>INT(VALUE(C27))/100</f>
        <v>503279928.93000001</v>
      </c>
    </row>
    <row r="15" spans="1:17" ht="20.100000000000001" customHeight="1" x14ac:dyDescent="0.2">
      <c r="A15" s="364">
        <f>Skriveni!B59</f>
        <v>1080563181.49</v>
      </c>
      <c r="B15" s="365"/>
      <c r="C15" s="366"/>
      <c r="D15" s="56"/>
      <c r="E15" s="56"/>
      <c r="F15" s="56"/>
      <c r="G15" s="56"/>
      <c r="H15" s="56"/>
      <c r="I15" s="56"/>
      <c r="J15" s="56"/>
      <c r="K15" s="56"/>
      <c r="L15" s="56"/>
      <c r="M15" s="56"/>
      <c r="N15" s="56"/>
      <c r="P15" s="50" t="s">
        <v>887</v>
      </c>
      <c r="Q15" s="51">
        <f>LEN(Skriveni!B9)</f>
        <v>30</v>
      </c>
    </row>
    <row r="16" spans="1:17" ht="12.95" customHeight="1" x14ac:dyDescent="0.2">
      <c r="D16" s="56"/>
      <c r="E16" s="56"/>
      <c r="F16" s="56"/>
      <c r="G16" s="56"/>
      <c r="H16" s="56"/>
      <c r="I16" s="56"/>
      <c r="P16" s="50" t="s">
        <v>888</v>
      </c>
      <c r="Q16" s="51">
        <f>INT(VALUE(C31))/100</f>
        <v>510</v>
      </c>
    </row>
    <row r="17" spans="1:17" ht="15" customHeight="1" x14ac:dyDescent="0.2">
      <c r="A17" s="276" t="s">
        <v>1654</v>
      </c>
      <c r="B17" s="277"/>
      <c r="C17" s="31">
        <v>10</v>
      </c>
      <c r="D17" s="300" t="str">
        <f>IF(C17="","Upišite vrstu izvještaja",IF(ISNA(LOOKUP(C17,A142:A149,A142:A149)),"Upisana je nepostojeća ili neprepoznatljiva vrsta izvještaja",IF(LOOKUP(C17,A142:A149,A142:A149)&lt;&gt;C17,"Upisana je nepostojeća ili neprepoznatljiva vrsta izvještaja",LOOKUP(C17,A142:A149,B142:B149))))</f>
        <v>Izvještaj kojeg ispunjava obveznik kome je kalendarska godina jednaka poslovnoj godini i kod kojeg u godini za koju se izvještaj podnosi nije bilo statusnih promjena, stečaja ili likvidacije.</v>
      </c>
      <c r="E17" s="301"/>
      <c r="F17" s="301"/>
      <c r="G17" s="301"/>
      <c r="H17" s="301"/>
      <c r="I17" s="301"/>
      <c r="J17" s="301"/>
      <c r="K17" s="301"/>
      <c r="L17" s="301"/>
      <c r="M17" s="301"/>
      <c r="N17" s="301"/>
      <c r="P17" s="50" t="s">
        <v>889</v>
      </c>
      <c r="Q17" s="51">
        <f>LEN(Skriveni!B11)</f>
        <v>6</v>
      </c>
    </row>
    <row r="18" spans="1:17" ht="8.1" customHeight="1" x14ac:dyDescent="0.2">
      <c r="A18" s="152"/>
      <c r="B18" s="152"/>
      <c r="C18" s="56"/>
      <c r="D18" s="301"/>
      <c r="E18" s="301"/>
      <c r="F18" s="301"/>
      <c r="G18" s="301"/>
      <c r="H18" s="301"/>
      <c r="I18" s="301"/>
      <c r="J18" s="301"/>
      <c r="K18" s="301"/>
      <c r="L18" s="301"/>
      <c r="M18" s="301"/>
      <c r="N18" s="301"/>
      <c r="Q18" s="51"/>
    </row>
    <row r="19" spans="1:17" ht="15" customHeight="1" x14ac:dyDescent="0.2">
      <c r="A19" s="276" t="s">
        <v>1314</v>
      </c>
      <c r="B19" s="277"/>
      <c r="C19" s="32">
        <v>2</v>
      </c>
      <c r="D19" s="380" t="str">
        <f>IF(C19="","Upišite svrhu predaje",IF(ISNA(LOOKUP(C19,A118:A120,A118:A120)),"Nepostojeća ili neprepoznatljiva svrha predaje",IF(LOOKUP(C19,A118:A120,A118:A120)&lt;&gt;C19,"Nepostojeća ili neprepoznatljiva svrha predaje",LOOKUP(C19,A118:A120,B118:B120))))</f>
        <v>Predaja samo u svrhu javne objave</v>
      </c>
      <c r="E19" s="321"/>
      <c r="F19" s="321"/>
      <c r="G19" s="321"/>
      <c r="H19" s="321"/>
      <c r="I19" s="317" t="s">
        <v>198</v>
      </c>
      <c r="J19" s="379"/>
      <c r="K19" s="379"/>
      <c r="L19" s="379"/>
      <c r="M19" s="379"/>
      <c r="N19" s="32" t="s">
        <v>2982</v>
      </c>
      <c r="P19" s="50" t="s">
        <v>890</v>
      </c>
      <c r="Q19" s="51">
        <f>LEN(Skriveni!B12)</f>
        <v>10</v>
      </c>
    </row>
    <row r="20" spans="1:17" ht="8.1" customHeight="1" x14ac:dyDescent="0.2">
      <c r="A20" s="10"/>
      <c r="B20" s="43"/>
      <c r="C20" s="30"/>
      <c r="D20" s="321"/>
      <c r="E20" s="321"/>
      <c r="F20" s="321"/>
      <c r="G20" s="321"/>
      <c r="H20" s="321"/>
      <c r="I20" s="30"/>
      <c r="M20" s="142"/>
      <c r="N20" s="162"/>
      <c r="Q20" s="51"/>
    </row>
    <row r="21" spans="1:17" ht="15" customHeight="1" x14ac:dyDescent="0.2">
      <c r="A21" s="287" t="s">
        <v>1986</v>
      </c>
      <c r="B21" s="281"/>
      <c r="C21" s="245" t="s">
        <v>1237</v>
      </c>
      <c r="D21" s="188" t="s">
        <v>1989</v>
      </c>
      <c r="E21" s="276" t="s">
        <v>1987</v>
      </c>
      <c r="F21" s="299"/>
      <c r="G21" s="299"/>
      <c r="H21" s="371"/>
      <c r="I21" s="32" t="s">
        <v>1237</v>
      </c>
      <c r="J21" s="378" t="s">
        <v>1988</v>
      </c>
      <c r="K21" s="379"/>
      <c r="L21" s="288"/>
      <c r="M21" s="319"/>
      <c r="N21" s="290"/>
      <c r="P21" s="50" t="s">
        <v>891</v>
      </c>
      <c r="Q21" s="51">
        <f>INT(VALUE(C39))</f>
        <v>373</v>
      </c>
    </row>
    <row r="22" spans="1:17" ht="5.0999999999999996" customHeight="1" x14ac:dyDescent="0.2">
      <c r="A22" s="22"/>
      <c r="B22" s="22"/>
      <c r="C22" s="22"/>
      <c r="D22" s="22"/>
      <c r="E22" s="22"/>
      <c r="F22" s="22"/>
      <c r="G22" s="22"/>
      <c r="H22" s="22"/>
      <c r="I22" s="22"/>
      <c r="J22" s="22"/>
      <c r="K22" s="22"/>
      <c r="L22" s="22"/>
      <c r="M22" s="22"/>
      <c r="N22" s="22"/>
      <c r="Q22" s="51"/>
    </row>
    <row r="23" spans="1:17" ht="15" customHeight="1" x14ac:dyDescent="0.2">
      <c r="A23" s="287" t="s">
        <v>2366</v>
      </c>
      <c r="B23" s="291"/>
      <c r="C23" s="39">
        <v>1</v>
      </c>
      <c r="D23" s="300" t="str">
        <f>IF(C23="","Upišite šifru obveznosti predaje nefinancijskog izvješća",IF(ISNA(LOOKUP(C23,A111:A114,A111:A114)),"Upisana je nepostojeća ili neprepoznatljiva šifra obveznosti",IF(LOOKUP(C23,A111:A114,A111:A114)&lt;&gt;C23,"Upisana je nepostojeća ili neprepoznatljiva šifra obveznosti",LOOKUP(C23,A111:A114,B111:B114))))</f>
        <v>Poduzetnik nije obveznik izrade nefinancijskog izvješća</v>
      </c>
      <c r="E23" s="301"/>
      <c r="F23" s="301"/>
      <c r="G23" s="301"/>
      <c r="H23" s="301"/>
      <c r="I23" s="301"/>
      <c r="J23" s="301"/>
      <c r="K23" s="301"/>
      <c r="L23" s="301"/>
      <c r="M23" s="301"/>
      <c r="N23" s="301"/>
      <c r="P23" s="50" t="s">
        <v>2448</v>
      </c>
      <c r="Q23" s="51">
        <f>INT(VALUE(C42))</f>
        <v>6920</v>
      </c>
    </row>
    <row r="24" spans="1:17" ht="9.9499999999999993" customHeight="1" x14ac:dyDescent="0.2">
      <c r="A24" s="291"/>
      <c r="B24" s="291"/>
      <c r="C24" s="56"/>
      <c r="D24" s="301"/>
      <c r="E24" s="301"/>
      <c r="F24" s="301"/>
      <c r="G24" s="301"/>
      <c r="H24" s="301"/>
      <c r="I24" s="301"/>
      <c r="J24" s="301"/>
      <c r="K24" s="301"/>
      <c r="L24" s="301"/>
      <c r="M24" s="301"/>
      <c r="N24" s="301"/>
      <c r="Q24" s="51"/>
    </row>
    <row r="25" spans="1:17" ht="6" customHeight="1" thickBot="1" x14ac:dyDescent="0.25">
      <c r="A25" s="35"/>
      <c r="B25" s="35"/>
      <c r="C25" s="164"/>
      <c r="D25" s="165"/>
      <c r="E25" s="165"/>
      <c r="F25" s="165"/>
      <c r="G25" s="165"/>
      <c r="H25" s="165"/>
      <c r="I25" s="165"/>
      <c r="J25" s="165"/>
      <c r="K25" s="35"/>
      <c r="L25" s="165"/>
      <c r="M25" s="165"/>
      <c r="N25" s="166"/>
      <c r="Q25" s="51"/>
    </row>
    <row r="26" spans="1:17" ht="6" customHeight="1" x14ac:dyDescent="0.2">
      <c r="A26" s="167"/>
      <c r="B26" s="167"/>
      <c r="C26" s="168"/>
      <c r="D26" s="169"/>
      <c r="E26" s="169"/>
      <c r="F26" s="169"/>
      <c r="G26" s="169"/>
      <c r="H26" s="169"/>
      <c r="I26" s="169"/>
      <c r="J26" s="169"/>
      <c r="K26" s="169"/>
      <c r="L26" s="169"/>
      <c r="M26" s="169"/>
      <c r="N26" s="169"/>
      <c r="Q26" s="51"/>
    </row>
    <row r="27" spans="1:17" ht="15" customHeight="1" x14ac:dyDescent="0.2">
      <c r="A27" s="280" t="s">
        <v>1980</v>
      </c>
      <c r="B27" s="292"/>
      <c r="C27" s="288" t="s">
        <v>2983</v>
      </c>
      <c r="D27" s="289"/>
      <c r="E27" s="290"/>
      <c r="F27" s="280" t="s">
        <v>2787</v>
      </c>
      <c r="G27" s="307"/>
      <c r="H27" s="288" t="s">
        <v>2984</v>
      </c>
      <c r="I27" s="305"/>
      <c r="J27" s="280" t="s">
        <v>1977</v>
      </c>
      <c r="K27" s="281"/>
      <c r="L27" s="306"/>
      <c r="M27" s="288" t="s">
        <v>2985</v>
      </c>
      <c r="N27" s="305"/>
      <c r="P27" s="50" t="s">
        <v>892</v>
      </c>
      <c r="Q27" s="51">
        <f>IF(C21="DA", 1, 0)</f>
        <v>0</v>
      </c>
    </row>
    <row r="28" spans="1:17" ht="9.9499999999999993" customHeight="1" x14ac:dyDescent="0.2">
      <c r="A28" s="152"/>
      <c r="B28" s="152"/>
      <c r="C28" s="56"/>
      <c r="D28" s="56"/>
      <c r="E28" s="152"/>
      <c r="F28" s="318" t="s">
        <v>1981</v>
      </c>
      <c r="G28" s="318"/>
      <c r="H28" s="318"/>
      <c r="I28" s="318"/>
      <c r="J28" s="318" t="s">
        <v>1982</v>
      </c>
      <c r="K28" s="318"/>
      <c r="L28" s="318"/>
      <c r="M28" s="318"/>
      <c r="N28" s="318"/>
      <c r="Q28" s="51"/>
    </row>
    <row r="29" spans="1:17" ht="15" customHeight="1" x14ac:dyDescent="0.2">
      <c r="A29" s="276" t="s">
        <v>1313</v>
      </c>
      <c r="B29" s="277"/>
      <c r="C29" s="302" t="s">
        <v>2986</v>
      </c>
      <c r="D29" s="303"/>
      <c r="E29" s="303"/>
      <c r="F29" s="303"/>
      <c r="G29" s="303"/>
      <c r="H29" s="303"/>
      <c r="I29" s="303"/>
      <c r="J29" s="303"/>
      <c r="K29" s="303"/>
      <c r="L29" s="304"/>
      <c r="M29" s="56"/>
      <c r="N29" s="56"/>
      <c r="P29" s="50" t="s">
        <v>893</v>
      </c>
      <c r="Q29" s="51">
        <f>IF(I21="DA",1,0)</f>
        <v>0</v>
      </c>
    </row>
    <row r="30" spans="1:17" ht="5.0999999999999996" customHeight="1" x14ac:dyDescent="0.2">
      <c r="A30" s="152"/>
      <c r="B30" s="152"/>
      <c r="C30" s="58"/>
      <c r="D30" s="56"/>
      <c r="E30" s="56"/>
      <c r="F30" s="56"/>
      <c r="G30" s="56"/>
      <c r="H30" s="56"/>
      <c r="I30" s="56"/>
      <c r="J30" s="56"/>
      <c r="K30" s="56"/>
      <c r="L30" s="56"/>
      <c r="M30" s="56"/>
      <c r="N30" s="56"/>
      <c r="Q30" s="51"/>
    </row>
    <row r="31" spans="1:17" ht="15" customHeight="1" x14ac:dyDescent="0.2">
      <c r="A31" s="276" t="s">
        <v>930</v>
      </c>
      <c r="B31" s="277"/>
      <c r="C31" s="65">
        <v>51000</v>
      </c>
      <c r="D31" s="328" t="s">
        <v>929</v>
      </c>
      <c r="E31" s="329"/>
      <c r="F31" s="302" t="s">
        <v>2987</v>
      </c>
      <c r="G31" s="330"/>
      <c r="H31" s="330"/>
      <c r="I31" s="330"/>
      <c r="J31" s="330"/>
      <c r="K31" s="330"/>
      <c r="L31" s="331"/>
      <c r="N31" s="56"/>
      <c r="P31" s="50" t="s">
        <v>1283</v>
      </c>
      <c r="Q31" s="51">
        <f>INT(VALUE(C19))</f>
        <v>2</v>
      </c>
    </row>
    <row r="32" spans="1:17" ht="5.0999999999999996" customHeight="1" x14ac:dyDescent="0.2">
      <c r="A32" s="152"/>
      <c r="B32" s="152"/>
      <c r="C32" s="56"/>
      <c r="D32" s="56"/>
      <c r="E32" s="56"/>
      <c r="F32" s="56"/>
      <c r="G32" s="56"/>
      <c r="H32" s="56"/>
      <c r="I32" s="56"/>
      <c r="J32" s="56"/>
      <c r="K32" s="56"/>
      <c r="L32" s="56"/>
      <c r="M32" s="56"/>
      <c r="N32" s="56"/>
      <c r="Q32" s="51"/>
    </row>
    <row r="33" spans="1:17" ht="15" customHeight="1" x14ac:dyDescent="0.2">
      <c r="A33" s="276" t="s">
        <v>303</v>
      </c>
      <c r="B33" s="277"/>
      <c r="C33" s="302" t="s">
        <v>2988</v>
      </c>
      <c r="D33" s="303"/>
      <c r="E33" s="303"/>
      <c r="F33" s="303"/>
      <c r="G33" s="303"/>
      <c r="H33" s="303"/>
      <c r="I33" s="303"/>
      <c r="J33" s="303"/>
      <c r="K33" s="303"/>
      <c r="L33" s="304"/>
      <c r="M33" s="56"/>
      <c r="N33" s="56"/>
      <c r="P33" s="50" t="s">
        <v>894</v>
      </c>
      <c r="Q33" s="51">
        <f>INT(VALUE(Skriveni!B21))</f>
        <v>1</v>
      </c>
    </row>
    <row r="34" spans="1:17" ht="5.0999999999999996" customHeight="1" x14ac:dyDescent="0.2">
      <c r="A34" s="152"/>
      <c r="B34" s="152"/>
      <c r="C34" s="56"/>
      <c r="D34" s="56"/>
      <c r="E34" s="56"/>
      <c r="F34" s="56"/>
      <c r="G34" s="56"/>
      <c r="H34" s="56"/>
      <c r="I34" s="56"/>
      <c r="J34" s="56"/>
      <c r="K34" s="56"/>
      <c r="L34" s="56"/>
      <c r="M34" s="56"/>
      <c r="N34" s="56"/>
      <c r="Q34" s="51"/>
    </row>
    <row r="35" spans="1:17" ht="15" customHeight="1" x14ac:dyDescent="0.2">
      <c r="A35" s="276" t="s">
        <v>931</v>
      </c>
      <c r="B35" s="277"/>
      <c r="C35" s="382" t="s">
        <v>2989</v>
      </c>
      <c r="D35" s="383"/>
      <c r="E35" s="383"/>
      <c r="F35" s="383"/>
      <c r="G35" s="383"/>
      <c r="H35" s="383"/>
      <c r="I35" s="384"/>
      <c r="J35" s="277" t="s">
        <v>1750</v>
      </c>
      <c r="K35" s="317"/>
      <c r="L35" s="288" t="s">
        <v>2990</v>
      </c>
      <c r="M35" s="319"/>
      <c r="N35" s="290"/>
      <c r="O35" s="50"/>
      <c r="P35" s="50" t="s">
        <v>2890</v>
      </c>
      <c r="Q35" s="51">
        <f>INT(VALUE(C52))</f>
        <v>11</v>
      </c>
    </row>
    <row r="36" spans="1:17" ht="5.0999999999999996" customHeight="1" x14ac:dyDescent="0.2">
      <c r="A36" s="152"/>
      <c r="B36" s="152"/>
      <c r="C36" s="58"/>
      <c r="D36" s="56"/>
      <c r="E36" s="56"/>
      <c r="F36" s="56"/>
      <c r="G36" s="56"/>
      <c r="H36" s="56"/>
      <c r="I36" s="56"/>
      <c r="J36" s="56"/>
      <c r="K36" s="56"/>
      <c r="L36" s="56"/>
      <c r="M36" s="56"/>
      <c r="N36" s="56"/>
      <c r="Q36" s="51"/>
    </row>
    <row r="37" spans="1:17" ht="15" customHeight="1" x14ac:dyDescent="0.2">
      <c r="A37" s="276" t="s">
        <v>2047</v>
      </c>
      <c r="B37" s="277"/>
      <c r="C37" s="333" t="s">
        <v>2991</v>
      </c>
      <c r="D37" s="296"/>
      <c r="E37" s="296"/>
      <c r="F37" s="296"/>
      <c r="G37" s="296"/>
      <c r="H37" s="296"/>
      <c r="I37" s="297"/>
      <c r="P37" s="50" t="s">
        <v>895</v>
      </c>
      <c r="Q37" s="51">
        <f>C54*2+F54</f>
        <v>200</v>
      </c>
    </row>
    <row r="38" spans="1:17" ht="5.0999999999999996" customHeight="1" x14ac:dyDescent="0.2">
      <c r="A38" s="152"/>
      <c r="B38" s="152"/>
      <c r="C38" s="58"/>
      <c r="D38" s="56"/>
      <c r="E38" s="56"/>
      <c r="F38" s="56"/>
      <c r="G38" s="56"/>
      <c r="H38" s="56"/>
      <c r="I38" s="56"/>
      <c r="J38" s="56"/>
      <c r="K38" s="56"/>
      <c r="L38" s="56"/>
      <c r="M38" s="56"/>
      <c r="N38" s="56"/>
      <c r="Q38" s="51"/>
    </row>
    <row r="39" spans="1:17" ht="15" customHeight="1" x14ac:dyDescent="0.2">
      <c r="A39" s="276" t="s">
        <v>1976</v>
      </c>
      <c r="B39" s="277"/>
      <c r="C39" s="36">
        <v>373</v>
      </c>
      <c r="D39" s="278" t="str">
        <f>IF(C39="","Upišite šifru grada/općine",IF(ISNA(LOOKUP(C39,A177:A732,A177:A732)),"Šifra grada/općine ne postoji",IF(LOOKUP(C39,A177:A732,A177:A732)&lt;&gt;C39,"Šifra grada/općine ne postoji",LOOKUP(C39,A177:A732,B177:B732))))</f>
        <v>Rijeka</v>
      </c>
      <c r="E39" s="323"/>
      <c r="F39" s="323"/>
      <c r="G39" s="323"/>
      <c r="H39" s="287" t="s">
        <v>2109</v>
      </c>
      <c r="I39" s="306"/>
      <c r="J39" s="54">
        <f>IF(C39&gt;0,LOOKUP(C39,A177:A732,C177:C732),"")</f>
        <v>8</v>
      </c>
      <c r="K39" s="332" t="str">
        <f>IF(J39="","Upišite šifru grada/općine",LOOKUP(J39,A153:A173,B153:B173))</f>
        <v>PRIMORSKO-GORANSKA</v>
      </c>
      <c r="L39" s="332"/>
      <c r="M39" s="332"/>
      <c r="N39" s="332"/>
      <c r="P39" s="50" t="s">
        <v>896</v>
      </c>
      <c r="Q39" s="51">
        <f>C56+2*F56+3*C58+4*F58</f>
        <v>837</v>
      </c>
    </row>
    <row r="40" spans="1:17" ht="6" customHeight="1" thickBot="1" x14ac:dyDescent="0.25">
      <c r="A40" s="170"/>
      <c r="B40" s="170"/>
      <c r="C40" s="171"/>
      <c r="D40" s="172"/>
      <c r="E40" s="173"/>
      <c r="F40" s="173"/>
      <c r="G40" s="173"/>
      <c r="H40" s="33"/>
      <c r="I40" s="174"/>
      <c r="J40" s="174"/>
      <c r="K40" s="174"/>
      <c r="L40" s="174"/>
      <c r="M40" s="174"/>
      <c r="N40" s="174"/>
      <c r="Q40" s="51"/>
    </row>
    <row r="41" spans="1:17" ht="6" customHeight="1" x14ac:dyDescent="0.2">
      <c r="A41" s="175"/>
      <c r="B41" s="175"/>
      <c r="C41" s="167"/>
      <c r="D41" s="176"/>
      <c r="E41" s="177"/>
      <c r="F41" s="177"/>
      <c r="G41" s="177"/>
      <c r="H41" s="34"/>
      <c r="I41" s="178"/>
      <c r="J41" s="178"/>
      <c r="K41" s="178"/>
      <c r="L41" s="178"/>
      <c r="M41" s="178"/>
      <c r="N41" s="178"/>
      <c r="Q41" s="51"/>
    </row>
    <row r="42" spans="1:17" ht="15" customHeight="1" x14ac:dyDescent="0.2">
      <c r="A42" s="276" t="s">
        <v>2750</v>
      </c>
      <c r="B42" s="277"/>
      <c r="C42" s="37" t="s">
        <v>1331</v>
      </c>
      <c r="D42" s="320" t="str">
        <f>IF(C42="","Upišite šifru razreda glavne djelatnosti",IF(ISNA(LOOKUP(C42,A736:A1351,A736:A1351)),"Šifra NKD-a ne postoji",IF(LOOKUP(C42,A736:A1351,A736:A1351)&lt;&gt;C42,"Šifra NKD-a ne postoji",LOOKUP(C42,A736:A1351,B736:B1351))))</f>
        <v>Računovodstvene, knjigovodstvene i rev...</v>
      </c>
      <c r="E42" s="321"/>
      <c r="F42" s="321"/>
      <c r="G42" s="322"/>
      <c r="H42" s="321"/>
      <c r="I42" s="321"/>
      <c r="J42" s="321"/>
      <c r="K42" s="321"/>
      <c r="L42" s="321"/>
      <c r="M42" s="321"/>
      <c r="N42" s="321"/>
      <c r="P42" s="50" t="s">
        <v>897</v>
      </c>
      <c r="Q42" s="51">
        <f>C60*2+F60</f>
        <v>36</v>
      </c>
    </row>
    <row r="43" spans="1:17" ht="5.0999999999999996" customHeight="1" x14ac:dyDescent="0.2">
      <c r="A43" s="152"/>
      <c r="B43" s="152"/>
      <c r="C43" s="56"/>
      <c r="D43" s="56"/>
      <c r="E43" s="56"/>
      <c r="F43" s="56"/>
      <c r="G43" s="56"/>
      <c r="H43" s="56"/>
      <c r="I43" s="56"/>
      <c r="J43" s="56"/>
      <c r="K43" s="56"/>
      <c r="L43" s="56"/>
      <c r="M43" s="56"/>
      <c r="N43" s="152"/>
      <c r="Q43" s="51"/>
    </row>
    <row r="44" spans="1:17" ht="15" customHeight="1" x14ac:dyDescent="0.2">
      <c r="A44" s="276" t="s">
        <v>1975</v>
      </c>
      <c r="B44" s="277"/>
      <c r="C44" s="38">
        <v>1</v>
      </c>
      <c r="D44" s="278" t="str">
        <f>IF(C44="","Upišite šifru statusa autonomnosti",IF(ISNA(LOOKUP(C44,A131:A138,A131:A138)),"Upisana je nepostojeća ili neprepoznatljiva šifra statusa autonomnosti",IF(LOOKUP(C44,A131:A138,A131:A138)&lt;&gt;C44,"Upisana je nepostojeća ili neprepoznatljiva šifra statusa autonomnosti",LOOKUP(C44,A131:A138,B131:B138))))</f>
        <v xml:space="preserve">Autonomno društvo, nije bilo član grupe u izvještajnom razdoblju </v>
      </c>
      <c r="E44" s="279"/>
      <c r="F44" s="279"/>
      <c r="G44" s="279"/>
      <c r="H44" s="279"/>
      <c r="I44" s="279"/>
      <c r="J44" s="279"/>
      <c r="K44" s="279"/>
      <c r="L44" s="279"/>
      <c r="M44" s="279"/>
      <c r="N44" s="279"/>
      <c r="P44" s="50" t="s">
        <v>1299</v>
      </c>
      <c r="Q44" s="51">
        <f>LEN(Skriveni!B43)</f>
        <v>13</v>
      </c>
    </row>
    <row r="45" spans="1:17" ht="5.0999999999999996" customHeight="1" x14ac:dyDescent="0.2">
      <c r="A45" s="10"/>
      <c r="B45" s="43"/>
      <c r="C45" s="56"/>
      <c r="D45" s="179"/>
      <c r="E45" s="180"/>
      <c r="F45" s="180"/>
      <c r="G45" s="180"/>
      <c r="H45" s="29"/>
      <c r="I45" s="181"/>
      <c r="J45" s="181"/>
      <c r="K45" s="181"/>
      <c r="L45" s="181"/>
      <c r="M45" s="181"/>
      <c r="N45" s="182"/>
      <c r="Q45" s="51"/>
    </row>
    <row r="46" spans="1:17" ht="15" customHeight="1" x14ac:dyDescent="0.2">
      <c r="A46" s="287" t="s">
        <v>2540</v>
      </c>
      <c r="B46" s="280"/>
      <c r="C46" s="39"/>
      <c r="D46" s="282" t="str">
        <f>IF(C46="","",IF(ISNA(LOOKUP(C46,A1355:A1603,A1355:A1603)),"Šifra države nepostojeća",IF(LOOKUP(C46,A1355:A1603,A1355:A1603)&lt;&gt;C46,"Šifra države nepostojeća",LOOKUP(C46,A1355:A1603,B1355:B1603))))</f>
        <v/>
      </c>
      <c r="E46" s="283"/>
      <c r="F46" s="283"/>
      <c r="G46" s="283"/>
      <c r="H46" s="283"/>
      <c r="I46" s="283"/>
      <c r="J46" s="280" t="s">
        <v>2539</v>
      </c>
      <c r="K46" s="281"/>
      <c r="L46" s="281"/>
      <c r="M46" s="288"/>
      <c r="N46" s="372"/>
      <c r="P46" s="52" t="s">
        <v>898</v>
      </c>
      <c r="Q46" s="53">
        <f>INT(VALUE(L21))/100</f>
        <v>0</v>
      </c>
    </row>
    <row r="47" spans="1:17" ht="9.9499999999999993" customHeight="1" x14ac:dyDescent="0.2">
      <c r="A47" s="281"/>
      <c r="B47" s="281"/>
      <c r="C47" s="56"/>
      <c r="D47" s="179"/>
      <c r="E47" s="180"/>
      <c r="F47" s="180"/>
      <c r="G47" s="180"/>
      <c r="H47" s="29"/>
      <c r="I47" s="181"/>
      <c r="J47" s="281"/>
      <c r="K47" s="281"/>
      <c r="L47" s="281"/>
      <c r="M47" s="181"/>
      <c r="N47" s="182"/>
    </row>
    <row r="48" spans="1:17" ht="6" customHeight="1" thickBot="1" x14ac:dyDescent="0.25">
      <c r="A48" s="170"/>
      <c r="B48" s="170"/>
      <c r="C48" s="171"/>
      <c r="D48" s="172"/>
      <c r="E48" s="173"/>
      <c r="F48" s="173"/>
      <c r="G48" s="173"/>
      <c r="H48" s="33"/>
      <c r="I48" s="174"/>
      <c r="J48" s="174"/>
      <c r="K48" s="174"/>
      <c r="L48" s="174"/>
      <c r="M48" s="174"/>
      <c r="N48" s="174"/>
    </row>
    <row r="49" spans="1:17" ht="6" customHeight="1" x14ac:dyDescent="0.2">
      <c r="A49" s="175"/>
      <c r="B49" s="175"/>
      <c r="C49" s="167"/>
      <c r="D49" s="176"/>
      <c r="E49" s="177"/>
      <c r="F49" s="177"/>
      <c r="G49" s="177"/>
      <c r="H49" s="34"/>
      <c r="I49" s="178"/>
      <c r="J49" s="178"/>
      <c r="K49" s="178"/>
      <c r="L49" s="178"/>
      <c r="M49" s="178"/>
      <c r="N49" s="178"/>
    </row>
    <row r="50" spans="1:17" ht="15" customHeight="1" x14ac:dyDescent="0.2">
      <c r="A50" s="276" t="s">
        <v>1315</v>
      </c>
      <c r="B50" s="277"/>
      <c r="C50" s="39">
        <v>2</v>
      </c>
      <c r="D50" s="274" t="str">
        <f>IF(C50="","Upišite oznaku veličine",IF(ISNA(LOOKUP(C50,A124:A127,A124:A127)),"Nepostojeća oznaka veličine",IF(LOOKUP(C50,A124:A127,A124:A127)&lt;&gt;C50,"Nepostojeća oznaka veličine",LOOKUP(C50,A124:A127,B124:B127))))</f>
        <v>Mali poduzetnik</v>
      </c>
      <c r="E50" s="275"/>
      <c r="F50" s="275"/>
      <c r="G50" s="275"/>
      <c r="H50" s="275"/>
      <c r="I50" s="324" t="s">
        <v>2976</v>
      </c>
      <c r="J50" s="325"/>
      <c r="K50" s="325"/>
      <c r="O50" s="182"/>
      <c r="P50" s="50" t="s">
        <v>1144</v>
      </c>
      <c r="Q50" s="105">
        <f>IF(N6="DA",1/10,IF(N6="NE",2/10,0))</f>
        <v>0.1</v>
      </c>
    </row>
    <row r="51" spans="1:17" ht="5.0999999999999996" customHeight="1" x14ac:dyDescent="0.2">
      <c r="A51" s="152"/>
      <c r="B51" s="152"/>
      <c r="C51" s="56"/>
      <c r="D51" s="163"/>
      <c r="E51" s="163"/>
      <c r="F51" s="163"/>
      <c r="G51" s="163"/>
      <c r="H51" s="183"/>
      <c r="I51" s="56"/>
      <c r="J51" s="182"/>
      <c r="K51" s="182"/>
      <c r="L51" s="182"/>
      <c r="M51" s="182"/>
      <c r="N51" s="182"/>
      <c r="O51" s="182"/>
    </row>
    <row r="52" spans="1:17" ht="15" customHeight="1" x14ac:dyDescent="0.2">
      <c r="A52" s="276" t="s">
        <v>1653</v>
      </c>
      <c r="B52" s="277"/>
      <c r="C52" s="39">
        <v>11</v>
      </c>
      <c r="D52" s="274" t="str">
        <f>IF(C52="","Upišite oznaku vlasništva",IF(ISNA(LOOKUP(C52,A80:A87,A80:A87)),"Nepostojeća oznaka vlasništva",IF(LOOKUP(C52,A80:A87,A80:A87)&lt;&gt;C52,"Nepostojeća oznaka vlasništva",LOOKUP(C52,A80:A87,B80:B87))))</f>
        <v>Državno vlasništvo (javno, komunalno i slično)</v>
      </c>
      <c r="E52" s="275"/>
      <c r="F52" s="275"/>
      <c r="G52" s="275"/>
      <c r="H52" s="286"/>
      <c r="I52" s="5" t="str">
        <f>IF(OR(Bilanca!Q1=1,RDG!Q1=1,N6="NE"),"DA","NE")</f>
        <v>DA</v>
      </c>
      <c r="J52" s="284" t="s">
        <v>989</v>
      </c>
      <c r="K52" s="285"/>
      <c r="L52" s="285"/>
      <c r="M52" s="285"/>
      <c r="N52" s="285"/>
      <c r="O52" s="182"/>
      <c r="P52" s="50" t="s">
        <v>1145</v>
      </c>
      <c r="Q52" s="50">
        <f>IF(N19="HSFI",1+1/10,IF(N19="MSFI",1+2/10,0))</f>
        <v>1.1000000000000001</v>
      </c>
    </row>
    <row r="53" spans="1:17" ht="5.0999999999999996" customHeight="1" x14ac:dyDescent="0.2">
      <c r="A53" s="152"/>
      <c r="B53" s="152"/>
      <c r="C53" s="56"/>
      <c r="D53" s="163"/>
      <c r="E53" s="163"/>
      <c r="F53" s="163"/>
      <c r="G53" s="163"/>
      <c r="H53" s="183"/>
      <c r="I53" s="56"/>
      <c r="J53" s="184"/>
      <c r="K53" s="184"/>
      <c r="L53" s="184"/>
      <c r="M53" s="184"/>
      <c r="N53" s="184"/>
      <c r="O53" s="182"/>
    </row>
    <row r="54" spans="1:17" ht="15" customHeight="1" x14ac:dyDescent="0.2">
      <c r="A54" s="276" t="s">
        <v>1990</v>
      </c>
      <c r="B54" s="277"/>
      <c r="C54" s="36">
        <v>100</v>
      </c>
      <c r="D54" s="55" t="s">
        <v>1991</v>
      </c>
      <c r="F54" s="36">
        <v>0</v>
      </c>
      <c r="G54" s="55" t="s">
        <v>1992</v>
      </c>
      <c r="H54" s="56"/>
      <c r="I54" s="5" t="str">
        <f>IF(OR(Dodatni!Q1=1,AND(N6="NE",C19&lt;&gt;2)),"DA","NE")</f>
        <v>NE</v>
      </c>
      <c r="J54" s="284" t="s">
        <v>820</v>
      </c>
      <c r="K54" s="285"/>
      <c r="L54" s="285"/>
      <c r="M54" s="285"/>
      <c r="N54" s="285"/>
      <c r="O54" s="182"/>
      <c r="P54" s="50" t="s">
        <v>2969</v>
      </c>
      <c r="Q54" s="50">
        <f>C44/10</f>
        <v>0.1</v>
      </c>
    </row>
    <row r="55" spans="1:17" ht="5.0999999999999996" customHeight="1" x14ac:dyDescent="0.2">
      <c r="A55" s="287" t="s">
        <v>2053</v>
      </c>
      <c r="B55" s="281"/>
      <c r="D55" s="57"/>
      <c r="F55" s="58"/>
      <c r="G55" s="58"/>
      <c r="H55" s="58"/>
      <c r="I55" s="58"/>
      <c r="J55" s="184"/>
      <c r="K55" s="184"/>
      <c r="L55" s="184"/>
      <c r="M55" s="184"/>
      <c r="N55" s="184"/>
      <c r="O55" s="182"/>
    </row>
    <row r="56" spans="1:17" ht="15" customHeight="1" x14ac:dyDescent="0.2">
      <c r="A56" s="281"/>
      <c r="B56" s="281"/>
      <c r="C56" s="40">
        <v>97</v>
      </c>
      <c r="D56" s="326" t="s">
        <v>2653</v>
      </c>
      <c r="E56" s="327"/>
      <c r="F56" s="40">
        <v>81</v>
      </c>
      <c r="G56" s="326" t="s">
        <v>2654</v>
      </c>
      <c r="H56" s="381"/>
      <c r="I56" s="218" t="s">
        <v>1587</v>
      </c>
      <c r="J56" s="308" t="s">
        <v>1615</v>
      </c>
      <c r="K56" s="285"/>
      <c r="L56" s="285"/>
      <c r="M56" s="285"/>
      <c r="N56" s="285"/>
      <c r="O56" s="182"/>
      <c r="P56" s="50" t="s">
        <v>2277</v>
      </c>
      <c r="Q56" s="50">
        <f>C46/20</f>
        <v>0</v>
      </c>
    </row>
    <row r="57" spans="1:17" ht="5.0999999999999996" customHeight="1" x14ac:dyDescent="0.2">
      <c r="A57" s="281"/>
      <c r="B57" s="281"/>
      <c r="G57" s="59"/>
      <c r="H57" s="59"/>
      <c r="I57" s="58"/>
      <c r="J57" s="184"/>
      <c r="K57" s="184"/>
      <c r="L57" s="184"/>
      <c r="M57" s="184"/>
      <c r="N57" s="184"/>
      <c r="O57" s="182"/>
    </row>
    <row r="58" spans="1:17" ht="15" customHeight="1" x14ac:dyDescent="0.2">
      <c r="A58" s="272" t="s">
        <v>2112</v>
      </c>
      <c r="B58" s="273"/>
      <c r="C58" s="40">
        <v>94</v>
      </c>
      <c r="D58" s="314" t="s">
        <v>2653</v>
      </c>
      <c r="E58" s="314"/>
      <c r="F58" s="40">
        <v>74</v>
      </c>
      <c r="G58" s="314" t="s">
        <v>2654</v>
      </c>
      <c r="H58" s="314"/>
      <c r="I58" s="5" t="str">
        <f>IF(OR(NT_I!Q1&lt;&gt;0,NT_D!Q1&lt;&gt;0),"DA", "NE")</f>
        <v>NE</v>
      </c>
      <c r="J58" s="284" t="s">
        <v>1101</v>
      </c>
      <c r="K58" s="285"/>
      <c r="L58" s="285"/>
      <c r="M58" s="285"/>
      <c r="N58" s="285"/>
      <c r="O58" s="182"/>
      <c r="P58" s="50" t="s">
        <v>2278</v>
      </c>
      <c r="Q58" s="50">
        <f>IF(ISERROR(INT(M46)),LEN(TRIM(M46)),INT(M46)/100)</f>
        <v>0</v>
      </c>
    </row>
    <row r="59" spans="1:17" ht="5.0999999999999996" customHeight="1" x14ac:dyDescent="0.2">
      <c r="A59" s="272"/>
      <c r="B59" s="272"/>
      <c r="G59" s="60"/>
      <c r="H59" s="60"/>
      <c r="I59" s="185"/>
      <c r="J59" s="184"/>
      <c r="K59" s="184"/>
      <c r="L59" s="184"/>
      <c r="M59" s="184"/>
      <c r="N59" s="184"/>
      <c r="O59" s="182"/>
    </row>
    <row r="60" spans="1:17" ht="15" customHeight="1" x14ac:dyDescent="0.2">
      <c r="A60" s="287" t="s">
        <v>1579</v>
      </c>
      <c r="B60" s="280"/>
      <c r="C60" s="40">
        <v>12</v>
      </c>
      <c r="D60" s="314" t="s">
        <v>2653</v>
      </c>
      <c r="E60" s="314"/>
      <c r="F60" s="40">
        <v>12</v>
      </c>
      <c r="G60" s="314" t="s">
        <v>2654</v>
      </c>
      <c r="H60" s="314"/>
      <c r="I60" s="219" t="str">
        <f>IF(PK!AC1=1,"DA","NE")</f>
        <v>NE</v>
      </c>
      <c r="J60" s="285" t="s">
        <v>158</v>
      </c>
      <c r="K60" s="285"/>
      <c r="L60" s="285"/>
      <c r="M60" s="285"/>
      <c r="N60" s="285"/>
      <c r="O60" s="182"/>
      <c r="P60" s="50" t="s">
        <v>917</v>
      </c>
      <c r="Q60" s="50">
        <f>C23/50</f>
        <v>0.02</v>
      </c>
    </row>
    <row r="61" spans="1:17" ht="9.9499999999999993" customHeight="1" thickBot="1" x14ac:dyDescent="0.25">
      <c r="A61" s="152"/>
      <c r="B61" s="152"/>
      <c r="I61" s="56"/>
      <c r="J61" s="184"/>
      <c r="K61" s="184"/>
      <c r="L61" s="184"/>
      <c r="M61" s="184"/>
      <c r="N61" s="184"/>
      <c r="O61" s="182"/>
    </row>
    <row r="62" spans="1:17" ht="15" customHeight="1" x14ac:dyDescent="0.2">
      <c r="A62" s="293" t="s">
        <v>764</v>
      </c>
      <c r="B62" s="294"/>
      <c r="C62" s="294"/>
      <c r="D62" s="186"/>
      <c r="I62" s="218" t="s">
        <v>1237</v>
      </c>
      <c r="J62" s="308" t="s">
        <v>1317</v>
      </c>
      <c r="K62" s="285"/>
      <c r="L62" s="285"/>
      <c r="M62" s="285"/>
      <c r="N62" s="285"/>
      <c r="O62" s="182"/>
    </row>
    <row r="63" spans="1:17" ht="5.0999999999999996" customHeight="1" x14ac:dyDescent="0.2">
      <c r="A63" s="152"/>
      <c r="B63" s="152"/>
      <c r="C63" s="58"/>
      <c r="D63" s="56"/>
      <c r="E63" s="58"/>
      <c r="F63" s="56"/>
      <c r="G63" s="152"/>
      <c r="H63" s="152"/>
      <c r="I63" s="56"/>
      <c r="J63" s="184"/>
      <c r="K63" s="184"/>
      <c r="L63" s="184"/>
      <c r="M63" s="184"/>
      <c r="N63" s="184"/>
      <c r="O63" s="182"/>
    </row>
    <row r="64" spans="1:17" ht="15" customHeight="1" x14ac:dyDescent="0.2">
      <c r="A64" s="42" t="s">
        <v>2110</v>
      </c>
      <c r="B64" s="37"/>
      <c r="C64" s="298" t="s">
        <v>1994</v>
      </c>
      <c r="D64" s="299"/>
      <c r="E64" s="299"/>
      <c r="F64" s="299"/>
      <c r="G64" s="152"/>
      <c r="H64" s="152"/>
      <c r="I64" s="218" t="s">
        <v>1237</v>
      </c>
      <c r="J64" s="308" t="s">
        <v>1318</v>
      </c>
      <c r="K64" s="285"/>
      <c r="L64" s="285"/>
      <c r="M64" s="285"/>
      <c r="N64" s="285"/>
      <c r="O64" s="182"/>
    </row>
    <row r="65" spans="1:17" ht="5.0999999999999996" customHeight="1" x14ac:dyDescent="0.2">
      <c r="A65" s="162"/>
      <c r="B65" s="162"/>
      <c r="G65" s="152"/>
      <c r="H65" s="152"/>
      <c r="I65" s="56"/>
      <c r="J65" s="184"/>
      <c r="K65" s="184"/>
      <c r="L65" s="184"/>
      <c r="M65" s="184"/>
      <c r="N65" s="184"/>
      <c r="O65" s="182"/>
    </row>
    <row r="66" spans="1:17" ht="15" customHeight="1" x14ac:dyDescent="0.2">
      <c r="A66" s="41" t="s">
        <v>2111</v>
      </c>
      <c r="B66" s="295"/>
      <c r="C66" s="296"/>
      <c r="D66" s="296"/>
      <c r="E66" s="296"/>
      <c r="F66" s="296"/>
      <c r="G66" s="297"/>
      <c r="H66" s="187"/>
      <c r="I66" s="218" t="s">
        <v>1587</v>
      </c>
      <c r="J66" s="285" t="s">
        <v>1581</v>
      </c>
      <c r="K66" s="285"/>
      <c r="L66" s="285"/>
      <c r="M66" s="285"/>
      <c r="N66" s="285"/>
      <c r="O66" s="182"/>
    </row>
    <row r="67" spans="1:17" ht="11.1" customHeight="1" x14ac:dyDescent="0.2">
      <c r="C67" s="313"/>
      <c r="D67" s="311"/>
      <c r="E67" s="311"/>
      <c r="F67" s="311"/>
      <c r="G67" s="311"/>
      <c r="H67" s="312"/>
      <c r="I67" s="56"/>
      <c r="J67" s="309"/>
      <c r="K67" s="309"/>
      <c r="L67" s="309"/>
      <c r="M67" s="309"/>
      <c r="N67" s="309"/>
      <c r="O67" s="182"/>
    </row>
    <row r="68" spans="1:17" ht="15" customHeight="1" x14ac:dyDescent="0.2">
      <c r="A68" s="287" t="s">
        <v>1580</v>
      </c>
      <c r="B68" s="336"/>
      <c r="C68" s="302" t="s">
        <v>2992</v>
      </c>
      <c r="D68" s="315"/>
      <c r="E68" s="315"/>
      <c r="F68" s="315"/>
      <c r="G68" s="316"/>
      <c r="H68" s="187"/>
      <c r="I68" s="218" t="s">
        <v>1587</v>
      </c>
      <c r="J68" s="285" t="s">
        <v>2975</v>
      </c>
      <c r="K68" s="285"/>
      <c r="L68" s="285"/>
      <c r="M68" s="285"/>
      <c r="N68" s="285"/>
      <c r="O68" s="30"/>
    </row>
    <row r="69" spans="1:17" ht="9.9499999999999993" customHeight="1" x14ac:dyDescent="0.2">
      <c r="C69" s="310" t="s">
        <v>932</v>
      </c>
      <c r="D69" s="311"/>
      <c r="E69" s="311"/>
      <c r="F69" s="311"/>
      <c r="G69" s="311"/>
      <c r="H69" s="312"/>
      <c r="I69" s="56"/>
      <c r="J69" s="309"/>
      <c r="K69" s="309"/>
      <c r="L69" s="309"/>
      <c r="M69" s="309"/>
      <c r="N69" s="309"/>
      <c r="O69" s="30"/>
    </row>
    <row r="70" spans="1:17" ht="15" customHeight="1" x14ac:dyDescent="0.2">
      <c r="A70" s="287" t="s">
        <v>1993</v>
      </c>
      <c r="B70" s="336"/>
      <c r="C70" s="337" t="s">
        <v>2993</v>
      </c>
      <c r="D70" s="338"/>
      <c r="E70" s="339"/>
      <c r="F70" s="56"/>
      <c r="G70" s="152"/>
      <c r="H70" s="152"/>
      <c r="I70" s="152"/>
      <c r="J70" s="152"/>
      <c r="K70" s="152"/>
      <c r="L70" s="152"/>
      <c r="M70" s="152"/>
      <c r="N70" s="56"/>
      <c r="O70" s="30"/>
    </row>
    <row r="71" spans="1:17" ht="9.9499999999999993" customHeight="1" x14ac:dyDescent="0.2">
      <c r="A71" s="152"/>
      <c r="B71" s="152"/>
      <c r="C71" s="343" t="s">
        <v>1703</v>
      </c>
      <c r="D71" s="299"/>
      <c r="E71" s="299"/>
      <c r="F71" s="299"/>
      <c r="G71" s="299"/>
      <c r="H71" s="299"/>
      <c r="I71" s="152"/>
      <c r="J71" s="152"/>
      <c r="K71" s="152"/>
      <c r="L71" s="152"/>
      <c r="M71" s="152"/>
      <c r="N71" s="56"/>
    </row>
    <row r="72" spans="1:17" ht="15" customHeight="1" x14ac:dyDescent="0.2">
      <c r="A72" s="287" t="s">
        <v>1657</v>
      </c>
      <c r="B72" s="336"/>
      <c r="C72" s="342" t="s">
        <v>2994</v>
      </c>
      <c r="D72" s="315"/>
      <c r="E72" s="315"/>
      <c r="F72" s="315"/>
      <c r="G72" s="315"/>
      <c r="H72" s="316"/>
      <c r="I72" s="152"/>
      <c r="J72" s="152"/>
      <c r="K72" s="152"/>
      <c r="N72" s="11" t="str">
        <f xml:space="preserve"> "Verzija Excel datoteke: " &amp; MID(Skriveni!B4,1,1) &amp; "." &amp; MID(Skriveni!B4,2,1) &amp; "." &amp; MID(Skriveni!B4,3,1) &amp; "."</f>
        <v>Verzija Excel datoteke: 4.0.2.</v>
      </c>
    </row>
    <row r="73" spans="1:17" ht="9.9499999999999993" customHeight="1" x14ac:dyDescent="0.2">
      <c r="A73" s="22"/>
      <c r="B73" s="22"/>
      <c r="C73" s="310" t="s">
        <v>2365</v>
      </c>
      <c r="D73" s="310"/>
      <c r="E73" s="310"/>
      <c r="F73" s="310"/>
      <c r="G73" s="310"/>
      <c r="H73" s="310"/>
      <c r="I73" s="22"/>
      <c r="J73" s="22"/>
      <c r="K73" s="22"/>
      <c r="L73" s="22"/>
      <c r="M73" s="22"/>
      <c r="N73" s="22"/>
    </row>
    <row r="74" spans="1:17" ht="30" customHeight="1" x14ac:dyDescent="0.2">
      <c r="A74" s="248"/>
      <c r="B74" s="248"/>
      <c r="C74" s="248"/>
      <c r="D74" s="248"/>
      <c r="E74" s="248"/>
      <c r="F74" s="248"/>
      <c r="G74" s="248"/>
      <c r="H74" s="248"/>
      <c r="I74" s="152"/>
      <c r="J74" s="152"/>
      <c r="K74" s="152"/>
      <c r="L74" s="152"/>
      <c r="M74" s="152"/>
      <c r="N74" s="56"/>
    </row>
    <row r="75" spans="1:17" ht="15" customHeight="1" thickBot="1" x14ac:dyDescent="0.25">
      <c r="A75" s="337" t="s">
        <v>2995</v>
      </c>
      <c r="B75" s="315"/>
      <c r="C75" s="315"/>
      <c r="D75" s="315"/>
      <c r="E75" s="316"/>
      <c r="I75" s="152"/>
      <c r="J75" s="152"/>
      <c r="K75" s="152"/>
      <c r="L75" s="152"/>
      <c r="M75" s="152"/>
      <c r="N75" s="152"/>
    </row>
    <row r="76" spans="1:17" ht="9.9499999999999993" customHeight="1" x14ac:dyDescent="0.2">
      <c r="A76" s="340" t="s">
        <v>961</v>
      </c>
      <c r="B76" s="341"/>
      <c r="C76" s="341"/>
      <c r="D76" s="341"/>
      <c r="E76" s="341"/>
      <c r="I76" s="152"/>
      <c r="J76" s="334" t="s">
        <v>962</v>
      </c>
      <c r="K76" s="335"/>
      <c r="L76" s="335"/>
      <c r="M76" s="335"/>
      <c r="N76" s="335"/>
    </row>
    <row r="77" spans="1:17" x14ac:dyDescent="0.2">
      <c r="A77" s="105"/>
      <c r="B77" s="105"/>
      <c r="C77" s="105"/>
      <c r="D77" s="105"/>
      <c r="E77" s="105"/>
      <c r="F77" s="105"/>
      <c r="G77" s="105"/>
      <c r="H77" s="105"/>
      <c r="I77" s="105"/>
      <c r="J77" s="105"/>
      <c r="K77" s="105"/>
      <c r="L77" s="105"/>
      <c r="M77" s="105"/>
      <c r="N77" s="105"/>
      <c r="O77" s="105"/>
      <c r="P77" s="105"/>
      <c r="Q77" s="105"/>
    </row>
    <row r="78" spans="1:17" x14ac:dyDescent="0.2">
      <c r="A78" s="246" t="str">
        <f ca="1" xml:space="preserve"> IF(ISERROR(Kont!J4),"Postoje neke pogreške u Excel datoteci, takva neće moći biti učitana!!!",IF(Kont!J4&gt;0, "Obrazac nije popunjen ili sadrži neke pogreške! Broj pogreški: " &amp; Kont!J4,""))</f>
        <v/>
      </c>
      <c r="B78" s="247"/>
      <c r="C78" s="247"/>
      <c r="D78" s="247"/>
      <c r="E78" s="247"/>
      <c r="F78" s="247"/>
      <c r="G78" s="247"/>
      <c r="H78" s="247"/>
      <c r="I78" s="247"/>
      <c r="J78" s="247"/>
      <c r="K78" s="247"/>
      <c r="L78" s="247"/>
      <c r="M78" s="247"/>
      <c r="N78" s="247"/>
      <c r="O78" s="105"/>
      <c r="P78" s="105"/>
      <c r="Q78" s="105"/>
    </row>
    <row r="79" spans="1:17" x14ac:dyDescent="0.2"/>
    <row r="80" spans="1:17" hidden="1" x14ac:dyDescent="0.2">
      <c r="A80" s="24">
        <v>11</v>
      </c>
      <c r="B80" s="24" t="s">
        <v>872</v>
      </c>
    </row>
    <row r="81" spans="1:2" hidden="1" x14ac:dyDescent="0.2">
      <c r="A81" s="24">
        <v>12</v>
      </c>
      <c r="B81" s="24" t="s">
        <v>873</v>
      </c>
    </row>
    <row r="82" spans="1:2" hidden="1" x14ac:dyDescent="0.2">
      <c r="A82" s="24">
        <v>13</v>
      </c>
      <c r="B82" s="24" t="s">
        <v>874</v>
      </c>
    </row>
    <row r="83" spans="1:2" hidden="1" x14ac:dyDescent="0.2">
      <c r="A83" s="24">
        <v>21</v>
      </c>
      <c r="B83" s="24" t="s">
        <v>875</v>
      </c>
    </row>
    <row r="84" spans="1:2" hidden="1" x14ac:dyDescent="0.2">
      <c r="A84" s="24">
        <v>22</v>
      </c>
      <c r="B84" s="24" t="s">
        <v>876</v>
      </c>
    </row>
    <row r="85" spans="1:2" hidden="1" x14ac:dyDescent="0.2">
      <c r="A85" s="24">
        <v>31</v>
      </c>
      <c r="B85" s="24" t="s">
        <v>877</v>
      </c>
    </row>
    <row r="86" spans="1:2" hidden="1" x14ac:dyDescent="0.2">
      <c r="A86" s="24">
        <v>41</v>
      </c>
      <c r="B86" s="24" t="s">
        <v>878</v>
      </c>
    </row>
    <row r="87" spans="1:2" hidden="1" x14ac:dyDescent="0.2">
      <c r="A87" s="24">
        <v>42</v>
      </c>
      <c r="B87" s="24" t="s">
        <v>879</v>
      </c>
    </row>
    <row r="88" spans="1:2" ht="12" hidden="1" customHeight="1" x14ac:dyDescent="0.2"/>
    <row r="89" spans="1:2" ht="12" hidden="1" customHeight="1" x14ac:dyDescent="0.2"/>
    <row r="90" spans="1:2" ht="12" hidden="1" customHeight="1" x14ac:dyDescent="0.2"/>
    <row r="91" spans="1:2" ht="12" hidden="1" customHeight="1" x14ac:dyDescent="0.2">
      <c r="A91" s="24">
        <v>1</v>
      </c>
      <c r="B91" s="24" t="s">
        <v>1520</v>
      </c>
    </row>
    <row r="92" spans="1:2" ht="12" hidden="1" customHeight="1" x14ac:dyDescent="0.2">
      <c r="A92" s="24">
        <v>2</v>
      </c>
      <c r="B92" s="24" t="s">
        <v>1521</v>
      </c>
    </row>
    <row r="93" spans="1:2" ht="12" hidden="1" customHeight="1" x14ac:dyDescent="0.2">
      <c r="A93" s="24">
        <v>3</v>
      </c>
      <c r="B93" s="24" t="s">
        <v>1522</v>
      </c>
    </row>
    <row r="94" spans="1:2" ht="12" hidden="1" customHeight="1" x14ac:dyDescent="0.2">
      <c r="A94" s="24">
        <v>4</v>
      </c>
      <c r="B94" s="24" t="s">
        <v>1523</v>
      </c>
    </row>
    <row r="95" spans="1:2" ht="12" hidden="1" customHeight="1" x14ac:dyDescent="0.2">
      <c r="A95" s="24">
        <v>5</v>
      </c>
      <c r="B95" s="24" t="s">
        <v>1524</v>
      </c>
    </row>
    <row r="96" spans="1:2" ht="12" hidden="1" customHeight="1" x14ac:dyDescent="0.2">
      <c r="A96" s="24">
        <v>6</v>
      </c>
      <c r="B96" s="24" t="s">
        <v>1527</v>
      </c>
    </row>
    <row r="97" spans="1:2" ht="12" hidden="1" customHeight="1" x14ac:dyDescent="0.2">
      <c r="A97" s="24">
        <v>7</v>
      </c>
      <c r="B97" s="24" t="s">
        <v>1525</v>
      </c>
    </row>
    <row r="98" spans="1:2" ht="12" hidden="1" customHeight="1" x14ac:dyDescent="0.2">
      <c r="A98" s="24">
        <v>8</v>
      </c>
      <c r="B98" s="24" t="s">
        <v>1528</v>
      </c>
    </row>
    <row r="99" spans="1:2" ht="12" hidden="1" customHeight="1" x14ac:dyDescent="0.2">
      <c r="A99" s="24">
        <v>9</v>
      </c>
      <c r="B99" s="24" t="s">
        <v>1529</v>
      </c>
    </row>
    <row r="100" spans="1:2" ht="12" hidden="1" customHeight="1" x14ac:dyDescent="0.2">
      <c r="A100" s="24">
        <v>10</v>
      </c>
      <c r="B100" s="24" t="s">
        <v>1530</v>
      </c>
    </row>
    <row r="101" spans="1:2" ht="12" hidden="1" customHeight="1" x14ac:dyDescent="0.2">
      <c r="A101" s="24">
        <v>11</v>
      </c>
      <c r="B101" s="24" t="s">
        <v>1531</v>
      </c>
    </row>
    <row r="102" spans="1:2" ht="12" hidden="1" customHeight="1" x14ac:dyDescent="0.2">
      <c r="A102" s="24">
        <v>12</v>
      </c>
      <c r="B102" s="24" t="s">
        <v>1526</v>
      </c>
    </row>
    <row r="103" spans="1:2" ht="12" hidden="1" customHeight="1" x14ac:dyDescent="0.2">
      <c r="A103" s="24">
        <v>13</v>
      </c>
      <c r="B103" s="24" t="s">
        <v>1532</v>
      </c>
    </row>
    <row r="104" spans="1:2" ht="12" hidden="1" customHeight="1" x14ac:dyDescent="0.2">
      <c r="A104" s="24">
        <v>14</v>
      </c>
      <c r="B104" s="24" t="s">
        <v>1533</v>
      </c>
    </row>
    <row r="105" spans="1:2" ht="12" hidden="1" customHeight="1" x14ac:dyDescent="0.2">
      <c r="A105" s="24">
        <v>15</v>
      </c>
      <c r="B105" s="24" t="s">
        <v>1534</v>
      </c>
    </row>
    <row r="106" spans="1:2" ht="12" hidden="1" customHeight="1" x14ac:dyDescent="0.2">
      <c r="A106" s="24">
        <v>16</v>
      </c>
      <c r="B106" s="24" t="s">
        <v>1535</v>
      </c>
    </row>
    <row r="107" spans="1:2" ht="12" hidden="1" customHeight="1" x14ac:dyDescent="0.2">
      <c r="A107" s="24">
        <v>99</v>
      </c>
      <c r="B107" s="24" t="s">
        <v>922</v>
      </c>
    </row>
    <row r="108" spans="1:2" ht="12" hidden="1" customHeight="1" x14ac:dyDescent="0.2"/>
    <row r="109" spans="1:2" ht="12" hidden="1" customHeight="1" x14ac:dyDescent="0.2"/>
    <row r="110" spans="1:2" ht="12" hidden="1" customHeight="1" x14ac:dyDescent="0.2"/>
    <row r="111" spans="1:2" hidden="1" x14ac:dyDescent="0.2">
      <c r="A111" s="24">
        <v>1</v>
      </c>
      <c r="B111" s="24" t="str">
        <f>IF(F12=2016,"Obveza predaje nefinancijskog izvješća u primjeni tek od 2017. godine", "Poduzetnik nije obveznik izrade nefinancijskog izvješća")</f>
        <v>Poduzetnik nije obveznik izrade nefinancijskog izvješća</v>
      </c>
    </row>
    <row r="112" spans="1:2" hidden="1" x14ac:dyDescent="0.2">
      <c r="A112" s="24">
        <v>2</v>
      </c>
      <c r="B112" s="24" t="s">
        <v>2911</v>
      </c>
    </row>
    <row r="113" spans="1:2" hidden="1" x14ac:dyDescent="0.2">
      <c r="A113" s="24">
        <v>3</v>
      </c>
      <c r="B113" s="24" t="s">
        <v>2912</v>
      </c>
    </row>
    <row r="114" spans="1:2" hidden="1" x14ac:dyDescent="0.2">
      <c r="A114" s="24">
        <v>4</v>
      </c>
      <c r="B114" s="24" t="s">
        <v>2913</v>
      </c>
    </row>
    <row r="118" spans="1:2" hidden="1" x14ac:dyDescent="0.2">
      <c r="A118" s="24">
        <v>1</v>
      </c>
      <c r="B118" s="24" t="s">
        <v>263</v>
      </c>
    </row>
    <row r="119" spans="1:2" hidden="1" x14ac:dyDescent="0.2">
      <c r="A119" s="24">
        <v>2</v>
      </c>
      <c r="B119" s="24" t="s">
        <v>264</v>
      </c>
    </row>
    <row r="120" spans="1:2" hidden="1" x14ac:dyDescent="0.2">
      <c r="A120" s="24">
        <v>3</v>
      </c>
      <c r="B120" s="24" t="s">
        <v>265</v>
      </c>
    </row>
    <row r="124" spans="1:2" hidden="1" x14ac:dyDescent="0.2">
      <c r="A124" s="24">
        <v>1</v>
      </c>
      <c r="B124" s="24" t="s">
        <v>1984</v>
      </c>
    </row>
    <row r="125" spans="1:2" hidden="1" x14ac:dyDescent="0.2">
      <c r="A125" s="24">
        <v>2</v>
      </c>
      <c r="B125" s="24" t="s">
        <v>849</v>
      </c>
    </row>
    <row r="126" spans="1:2" hidden="1" x14ac:dyDescent="0.2">
      <c r="A126" s="24">
        <v>3</v>
      </c>
      <c r="B126" s="24" t="s">
        <v>1985</v>
      </c>
    </row>
    <row r="127" spans="1:2" hidden="1" x14ac:dyDescent="0.2">
      <c r="A127" s="24">
        <v>4</v>
      </c>
      <c r="B127" s="24" t="s">
        <v>850</v>
      </c>
    </row>
    <row r="131" spans="1:2" hidden="1" x14ac:dyDescent="0.2">
      <c r="A131" s="24">
        <v>1</v>
      </c>
      <c r="B131" s="24" t="s">
        <v>1582</v>
      </c>
    </row>
    <row r="132" spans="1:2" hidden="1" x14ac:dyDescent="0.2">
      <c r="A132" s="24">
        <v>2</v>
      </c>
      <c r="B132" s="24" t="s">
        <v>1583</v>
      </c>
    </row>
    <row r="133" spans="1:2" hidden="1" x14ac:dyDescent="0.2">
      <c r="A133" s="24">
        <v>3</v>
      </c>
      <c r="B133" s="24" t="s">
        <v>504</v>
      </c>
    </row>
    <row r="134" spans="1:2" hidden="1" x14ac:dyDescent="0.2">
      <c r="A134" s="24">
        <v>5</v>
      </c>
      <c r="B134" s="24" t="s">
        <v>505</v>
      </c>
    </row>
    <row r="135" spans="1:2" hidden="1" x14ac:dyDescent="0.2">
      <c r="A135" s="24">
        <v>6</v>
      </c>
      <c r="B135" s="24" t="s">
        <v>506</v>
      </c>
    </row>
    <row r="136" spans="1:2" hidden="1" x14ac:dyDescent="0.2">
      <c r="A136" s="24">
        <v>7</v>
      </c>
      <c r="B136" s="24" t="s">
        <v>507</v>
      </c>
    </row>
    <row r="137" spans="1:2" hidden="1" x14ac:dyDescent="0.2">
      <c r="A137" s="24">
        <v>9</v>
      </c>
      <c r="B137" s="24" t="s">
        <v>1736</v>
      </c>
    </row>
    <row r="138" spans="1:2" hidden="1" x14ac:dyDescent="0.2">
      <c r="A138" s="24">
        <v>10</v>
      </c>
      <c r="B138" s="24" t="s">
        <v>309</v>
      </c>
    </row>
    <row r="142" spans="1:2" hidden="1" x14ac:dyDescent="0.2">
      <c r="A142" s="24">
        <v>10</v>
      </c>
      <c r="B142" s="24" t="s">
        <v>1655</v>
      </c>
    </row>
    <row r="143" spans="1:2" hidden="1" x14ac:dyDescent="0.2">
      <c r="A143" s="24">
        <v>11</v>
      </c>
      <c r="B143" s="24" t="s">
        <v>1656</v>
      </c>
    </row>
    <row r="144" spans="1:2" hidden="1" x14ac:dyDescent="0.2">
      <c r="A144" s="24">
        <v>20</v>
      </c>
      <c r="B144" s="24" t="s">
        <v>1493</v>
      </c>
    </row>
    <row r="145" spans="1:2" hidden="1" x14ac:dyDescent="0.2">
      <c r="A145" s="24">
        <v>21</v>
      </c>
      <c r="B145" s="24" t="s">
        <v>144</v>
      </c>
    </row>
    <row r="146" spans="1:2" hidden="1" x14ac:dyDescent="0.2">
      <c r="A146" s="24">
        <v>30</v>
      </c>
      <c r="B146" s="24" t="s">
        <v>2925</v>
      </c>
    </row>
    <row r="147" spans="1:2" hidden="1" x14ac:dyDescent="0.2">
      <c r="A147" s="24">
        <v>31</v>
      </c>
      <c r="B147" s="24" t="s">
        <v>145</v>
      </c>
    </row>
    <row r="148" spans="1:2" hidden="1" x14ac:dyDescent="0.2">
      <c r="A148" s="24">
        <v>40</v>
      </c>
      <c r="B148" s="24" t="s">
        <v>146</v>
      </c>
    </row>
    <row r="149" spans="1:2" hidden="1" x14ac:dyDescent="0.2">
      <c r="A149" s="24">
        <v>50</v>
      </c>
      <c r="B149" s="24" t="s">
        <v>1284</v>
      </c>
    </row>
    <row r="153" spans="1:2" hidden="1" x14ac:dyDescent="0.2">
      <c r="A153" s="24">
        <v>1</v>
      </c>
      <c r="B153" s="24" t="s">
        <v>2977</v>
      </c>
    </row>
    <row r="154" spans="1:2" hidden="1" x14ac:dyDescent="0.2">
      <c r="A154" s="24">
        <v>2</v>
      </c>
      <c r="B154" s="24" t="s">
        <v>243</v>
      </c>
    </row>
    <row r="155" spans="1:2" hidden="1" x14ac:dyDescent="0.2">
      <c r="A155" s="24">
        <v>3</v>
      </c>
      <c r="B155" s="24" t="s">
        <v>244</v>
      </c>
    </row>
    <row r="156" spans="1:2" hidden="1" x14ac:dyDescent="0.2">
      <c r="A156" s="24">
        <v>4</v>
      </c>
      <c r="B156" s="24" t="s">
        <v>245</v>
      </c>
    </row>
    <row r="157" spans="1:2" hidden="1" x14ac:dyDescent="0.2">
      <c r="A157" s="24">
        <v>5</v>
      </c>
      <c r="B157" s="24" t="s">
        <v>246</v>
      </c>
    </row>
    <row r="158" spans="1:2" hidden="1" x14ac:dyDescent="0.2">
      <c r="A158" s="24">
        <v>6</v>
      </c>
      <c r="B158" s="24" t="s">
        <v>247</v>
      </c>
    </row>
    <row r="159" spans="1:2" hidden="1" x14ac:dyDescent="0.2">
      <c r="A159" s="24">
        <v>7</v>
      </c>
      <c r="B159" s="24" t="s">
        <v>248</v>
      </c>
    </row>
    <row r="160" spans="1:2" hidden="1" x14ac:dyDescent="0.2">
      <c r="A160" s="24">
        <v>8</v>
      </c>
      <c r="B160" s="24" t="s">
        <v>249</v>
      </c>
    </row>
    <row r="161" spans="1:2" hidden="1" x14ac:dyDescent="0.2">
      <c r="A161" s="24">
        <v>9</v>
      </c>
      <c r="B161" s="24" t="s">
        <v>250</v>
      </c>
    </row>
    <row r="162" spans="1:2" hidden="1" x14ac:dyDescent="0.2">
      <c r="A162" s="24">
        <v>10</v>
      </c>
      <c r="B162" s="24" t="s">
        <v>251</v>
      </c>
    </row>
    <row r="163" spans="1:2" hidden="1" x14ac:dyDescent="0.2">
      <c r="A163" s="24">
        <v>11</v>
      </c>
      <c r="B163" s="24" t="s">
        <v>252</v>
      </c>
    </row>
    <row r="164" spans="1:2" hidden="1" x14ac:dyDescent="0.2">
      <c r="A164" s="24">
        <v>12</v>
      </c>
      <c r="B164" s="24" t="s">
        <v>253</v>
      </c>
    </row>
    <row r="165" spans="1:2" hidden="1" x14ac:dyDescent="0.2">
      <c r="A165" s="24">
        <v>13</v>
      </c>
      <c r="B165" s="24" t="s">
        <v>254</v>
      </c>
    </row>
    <row r="166" spans="1:2" hidden="1" x14ac:dyDescent="0.2">
      <c r="A166" s="24">
        <v>14</v>
      </c>
      <c r="B166" s="24" t="s">
        <v>255</v>
      </c>
    </row>
    <row r="167" spans="1:2" hidden="1" x14ac:dyDescent="0.2">
      <c r="A167" s="24">
        <v>15</v>
      </c>
      <c r="B167" s="24" t="s">
        <v>256</v>
      </c>
    </row>
    <row r="168" spans="1:2" hidden="1" x14ac:dyDescent="0.2">
      <c r="A168" s="24">
        <v>16</v>
      </c>
      <c r="B168" s="24" t="s">
        <v>257</v>
      </c>
    </row>
    <row r="169" spans="1:2" hidden="1" x14ac:dyDescent="0.2">
      <c r="A169" s="24">
        <v>17</v>
      </c>
      <c r="B169" s="24" t="s">
        <v>258</v>
      </c>
    </row>
    <row r="170" spans="1:2" hidden="1" x14ac:dyDescent="0.2">
      <c r="A170" s="24">
        <v>18</v>
      </c>
      <c r="B170" s="24" t="s">
        <v>259</v>
      </c>
    </row>
    <row r="171" spans="1:2" hidden="1" x14ac:dyDescent="0.2">
      <c r="A171" s="24">
        <v>19</v>
      </c>
      <c r="B171" s="24" t="s">
        <v>260</v>
      </c>
    </row>
    <row r="172" spans="1:2" hidden="1" x14ac:dyDescent="0.2">
      <c r="A172" s="24">
        <v>20</v>
      </c>
      <c r="B172" s="24" t="s">
        <v>261</v>
      </c>
    </row>
    <row r="173" spans="1:2" hidden="1" x14ac:dyDescent="0.2">
      <c r="A173" s="24">
        <v>21</v>
      </c>
      <c r="B173" s="24" t="s">
        <v>262</v>
      </c>
    </row>
    <row r="177" spans="1:3" hidden="1" x14ac:dyDescent="0.2">
      <c r="A177" s="24">
        <v>1</v>
      </c>
      <c r="B177" s="24" t="s">
        <v>2182</v>
      </c>
      <c r="C177" s="24">
        <v>16</v>
      </c>
    </row>
    <row r="178" spans="1:3" hidden="1" x14ac:dyDescent="0.2">
      <c r="A178" s="24">
        <v>2</v>
      </c>
      <c r="B178" s="24" t="s">
        <v>2185</v>
      </c>
      <c r="C178" s="24">
        <v>14</v>
      </c>
    </row>
    <row r="179" spans="1:3" hidden="1" x14ac:dyDescent="0.2">
      <c r="A179" s="24">
        <v>3</v>
      </c>
      <c r="B179" s="24" t="s">
        <v>2188</v>
      </c>
      <c r="C179" s="24">
        <v>16</v>
      </c>
    </row>
    <row r="180" spans="1:3" hidden="1" x14ac:dyDescent="0.2">
      <c r="A180" s="24">
        <v>4</v>
      </c>
      <c r="B180" s="24" t="s">
        <v>2079</v>
      </c>
      <c r="C180" s="24">
        <v>8</v>
      </c>
    </row>
    <row r="181" spans="1:3" hidden="1" x14ac:dyDescent="0.2">
      <c r="A181" s="24">
        <v>5</v>
      </c>
      <c r="B181" s="24" t="s">
        <v>2082</v>
      </c>
      <c r="C181" s="24">
        <v>18</v>
      </c>
    </row>
    <row r="182" spans="1:3" hidden="1" x14ac:dyDescent="0.2">
      <c r="A182" s="24">
        <v>6</v>
      </c>
      <c r="B182" s="24" t="s">
        <v>219</v>
      </c>
      <c r="C182" s="24">
        <v>18</v>
      </c>
    </row>
    <row r="183" spans="1:3" hidden="1" x14ac:dyDescent="0.2">
      <c r="A183" s="24">
        <v>7</v>
      </c>
      <c r="B183" s="24" t="s">
        <v>222</v>
      </c>
      <c r="C183" s="24">
        <v>4</v>
      </c>
    </row>
    <row r="184" spans="1:3" hidden="1" x14ac:dyDescent="0.2">
      <c r="A184" s="24">
        <v>8</v>
      </c>
      <c r="B184" s="24" t="s">
        <v>225</v>
      </c>
      <c r="C184" s="24">
        <v>8</v>
      </c>
    </row>
    <row r="185" spans="1:3" hidden="1" x14ac:dyDescent="0.2">
      <c r="A185" s="24">
        <v>9</v>
      </c>
      <c r="B185" s="24" t="s">
        <v>228</v>
      </c>
      <c r="C185" s="24">
        <v>17</v>
      </c>
    </row>
    <row r="186" spans="1:3" hidden="1" x14ac:dyDescent="0.2">
      <c r="A186" s="24">
        <v>10</v>
      </c>
      <c r="B186" s="24" t="s">
        <v>231</v>
      </c>
      <c r="C186" s="24">
        <v>12</v>
      </c>
    </row>
    <row r="187" spans="1:3" hidden="1" x14ac:dyDescent="0.2">
      <c r="A187" s="24">
        <v>11</v>
      </c>
      <c r="B187" s="24" t="s">
        <v>234</v>
      </c>
      <c r="C187" s="24">
        <v>2</v>
      </c>
    </row>
    <row r="188" spans="1:3" hidden="1" x14ac:dyDescent="0.2">
      <c r="A188" s="24">
        <v>12</v>
      </c>
      <c r="B188" s="24" t="s">
        <v>240</v>
      </c>
      <c r="C188" s="24">
        <v>5</v>
      </c>
    </row>
    <row r="189" spans="1:3" hidden="1" x14ac:dyDescent="0.2">
      <c r="A189" s="24">
        <v>13</v>
      </c>
      <c r="B189" s="24" t="s">
        <v>2302</v>
      </c>
      <c r="C189" s="24">
        <v>14</v>
      </c>
    </row>
    <row r="190" spans="1:3" hidden="1" x14ac:dyDescent="0.2">
      <c r="A190" s="24">
        <v>15</v>
      </c>
      <c r="B190" s="24" t="s">
        <v>2167</v>
      </c>
      <c r="C190" s="24">
        <v>20</v>
      </c>
    </row>
    <row r="191" spans="1:3" hidden="1" x14ac:dyDescent="0.2">
      <c r="A191" s="24">
        <v>16</v>
      </c>
      <c r="B191" s="24" t="s">
        <v>186</v>
      </c>
      <c r="C191" s="24">
        <v>14</v>
      </c>
    </row>
    <row r="192" spans="1:3" hidden="1" x14ac:dyDescent="0.2">
      <c r="A192" s="24">
        <v>17</v>
      </c>
      <c r="B192" s="24" t="s">
        <v>799</v>
      </c>
      <c r="C192" s="24">
        <v>13</v>
      </c>
    </row>
    <row r="193" spans="1:3" hidden="1" x14ac:dyDescent="0.2">
      <c r="A193" s="24">
        <v>18</v>
      </c>
      <c r="B193" s="24" t="s">
        <v>802</v>
      </c>
      <c r="C193" s="24">
        <v>7</v>
      </c>
    </row>
    <row r="194" spans="1:3" hidden="1" x14ac:dyDescent="0.2">
      <c r="A194" s="24">
        <v>19</v>
      </c>
      <c r="B194" s="24" t="s">
        <v>805</v>
      </c>
      <c r="C194" s="24">
        <v>5</v>
      </c>
    </row>
    <row r="195" spans="1:3" hidden="1" x14ac:dyDescent="0.2">
      <c r="A195" s="24">
        <v>20</v>
      </c>
      <c r="B195" s="24" t="s">
        <v>808</v>
      </c>
      <c r="C195" s="24">
        <v>13</v>
      </c>
    </row>
    <row r="196" spans="1:3" hidden="1" x14ac:dyDescent="0.2">
      <c r="A196" s="24">
        <v>21</v>
      </c>
      <c r="B196" s="24" t="s">
        <v>814</v>
      </c>
      <c r="C196" s="24">
        <v>14</v>
      </c>
    </row>
    <row r="197" spans="1:3" hidden="1" x14ac:dyDescent="0.2">
      <c r="A197" s="24">
        <v>22</v>
      </c>
      <c r="B197" s="24" t="s">
        <v>817</v>
      </c>
      <c r="C197" s="24">
        <v>13</v>
      </c>
    </row>
    <row r="198" spans="1:3" hidden="1" x14ac:dyDescent="0.2">
      <c r="A198" s="24">
        <v>23</v>
      </c>
      <c r="B198" s="24" t="s">
        <v>2149</v>
      </c>
      <c r="C198" s="24">
        <v>14</v>
      </c>
    </row>
    <row r="199" spans="1:3" hidden="1" x14ac:dyDescent="0.2">
      <c r="A199" s="24">
        <v>24</v>
      </c>
      <c r="B199" s="24" t="s">
        <v>2152</v>
      </c>
      <c r="C199" s="24">
        <v>7</v>
      </c>
    </row>
    <row r="200" spans="1:3" hidden="1" x14ac:dyDescent="0.2">
      <c r="A200" s="24">
        <v>25</v>
      </c>
      <c r="B200" s="24" t="s">
        <v>2155</v>
      </c>
      <c r="C200" s="24">
        <v>19</v>
      </c>
    </row>
    <row r="201" spans="1:3" hidden="1" x14ac:dyDescent="0.2">
      <c r="A201" s="24">
        <v>26</v>
      </c>
      <c r="B201" s="24" t="s">
        <v>2158</v>
      </c>
      <c r="C201" s="24">
        <v>16</v>
      </c>
    </row>
    <row r="202" spans="1:3" hidden="1" x14ac:dyDescent="0.2">
      <c r="A202" s="24">
        <v>27</v>
      </c>
      <c r="B202" s="24" t="s">
        <v>2161</v>
      </c>
      <c r="C202" s="24">
        <v>17</v>
      </c>
    </row>
    <row r="203" spans="1:3" hidden="1" x14ac:dyDescent="0.2">
      <c r="A203" s="24">
        <v>29</v>
      </c>
      <c r="B203" s="24" t="s">
        <v>1752</v>
      </c>
      <c r="C203" s="24">
        <v>16</v>
      </c>
    </row>
    <row r="204" spans="1:3" hidden="1" x14ac:dyDescent="0.2">
      <c r="A204" s="24">
        <v>30</v>
      </c>
      <c r="B204" s="24" t="s">
        <v>1909</v>
      </c>
      <c r="C204" s="24">
        <v>4</v>
      </c>
    </row>
    <row r="205" spans="1:3" hidden="1" x14ac:dyDescent="0.2">
      <c r="A205" s="24">
        <v>32</v>
      </c>
      <c r="B205" s="24" t="s">
        <v>1912</v>
      </c>
      <c r="C205" s="24">
        <v>16</v>
      </c>
    </row>
    <row r="206" spans="1:3" hidden="1" x14ac:dyDescent="0.2">
      <c r="A206" s="24">
        <v>33</v>
      </c>
      <c r="B206" s="24" t="s">
        <v>1915</v>
      </c>
      <c r="C206" s="24">
        <v>1</v>
      </c>
    </row>
    <row r="207" spans="1:3" hidden="1" x14ac:dyDescent="0.2">
      <c r="A207" s="24">
        <v>34</v>
      </c>
      <c r="B207" s="24" t="s">
        <v>1918</v>
      </c>
      <c r="C207" s="24">
        <v>1</v>
      </c>
    </row>
    <row r="208" spans="1:3" hidden="1" x14ac:dyDescent="0.2">
      <c r="A208" s="24">
        <v>35</v>
      </c>
      <c r="B208" s="24" t="s">
        <v>1924</v>
      </c>
      <c r="C208" s="24">
        <v>11</v>
      </c>
    </row>
    <row r="209" spans="1:3" hidden="1" x14ac:dyDescent="0.2">
      <c r="A209" s="24">
        <v>36</v>
      </c>
      <c r="B209" s="24" t="s">
        <v>1927</v>
      </c>
      <c r="C209" s="24">
        <v>5</v>
      </c>
    </row>
    <row r="210" spans="1:3" hidden="1" x14ac:dyDescent="0.2">
      <c r="A210" s="24">
        <v>37</v>
      </c>
      <c r="B210" s="24" t="s">
        <v>1933</v>
      </c>
      <c r="C210" s="24">
        <v>9</v>
      </c>
    </row>
    <row r="211" spans="1:3" hidden="1" x14ac:dyDescent="0.2">
      <c r="A211" s="24">
        <v>38</v>
      </c>
      <c r="B211" s="24" t="s">
        <v>1936</v>
      </c>
      <c r="C211" s="24">
        <v>8</v>
      </c>
    </row>
    <row r="212" spans="1:3" hidden="1" x14ac:dyDescent="0.2">
      <c r="A212" s="24">
        <v>39</v>
      </c>
      <c r="B212" s="24" t="s">
        <v>1939</v>
      </c>
      <c r="C212" s="24">
        <v>12</v>
      </c>
    </row>
    <row r="213" spans="1:3" hidden="1" x14ac:dyDescent="0.2">
      <c r="A213" s="24">
        <v>40</v>
      </c>
      <c r="B213" s="24" t="s">
        <v>1942</v>
      </c>
      <c r="C213" s="24">
        <v>18</v>
      </c>
    </row>
    <row r="214" spans="1:3" hidden="1" x14ac:dyDescent="0.2">
      <c r="A214" s="24">
        <v>41</v>
      </c>
      <c r="B214" s="24" t="s">
        <v>2122</v>
      </c>
      <c r="C214" s="24">
        <v>2</v>
      </c>
    </row>
    <row r="215" spans="1:3" hidden="1" x14ac:dyDescent="0.2">
      <c r="A215" s="24">
        <v>42</v>
      </c>
      <c r="B215" s="24" t="s">
        <v>2125</v>
      </c>
      <c r="C215" s="24">
        <v>18</v>
      </c>
    </row>
    <row r="216" spans="1:3" hidden="1" x14ac:dyDescent="0.2">
      <c r="A216" s="24">
        <v>43</v>
      </c>
      <c r="B216" s="24" t="s">
        <v>128</v>
      </c>
      <c r="C216" s="24">
        <v>18</v>
      </c>
    </row>
    <row r="217" spans="1:3" hidden="1" x14ac:dyDescent="0.2">
      <c r="A217" s="24">
        <v>44</v>
      </c>
      <c r="B217" s="24" t="s">
        <v>2778</v>
      </c>
      <c r="C217" s="24">
        <v>16</v>
      </c>
    </row>
    <row r="218" spans="1:3" hidden="1" x14ac:dyDescent="0.2">
      <c r="A218" s="24">
        <v>46</v>
      </c>
      <c r="B218" s="24" t="s">
        <v>1375</v>
      </c>
      <c r="C218" s="24">
        <v>12</v>
      </c>
    </row>
    <row r="219" spans="1:3" hidden="1" x14ac:dyDescent="0.2">
      <c r="A219" s="24">
        <v>47</v>
      </c>
      <c r="B219" s="24" t="s">
        <v>1378</v>
      </c>
      <c r="C219" s="24">
        <v>18</v>
      </c>
    </row>
    <row r="220" spans="1:3" hidden="1" x14ac:dyDescent="0.2">
      <c r="A220" s="24">
        <v>48</v>
      </c>
      <c r="B220" s="24" t="s">
        <v>1381</v>
      </c>
      <c r="C220" s="24">
        <v>5</v>
      </c>
    </row>
    <row r="221" spans="1:3" hidden="1" x14ac:dyDescent="0.2">
      <c r="A221" s="24">
        <v>49</v>
      </c>
      <c r="B221" s="24" t="s">
        <v>1384</v>
      </c>
      <c r="C221" s="24">
        <v>4</v>
      </c>
    </row>
    <row r="222" spans="1:3" hidden="1" x14ac:dyDescent="0.2">
      <c r="A222" s="24">
        <v>50</v>
      </c>
      <c r="B222" s="24" t="s">
        <v>1387</v>
      </c>
      <c r="C222" s="24">
        <v>17</v>
      </c>
    </row>
    <row r="223" spans="1:3" hidden="1" x14ac:dyDescent="0.2">
      <c r="A223" s="24">
        <v>51</v>
      </c>
      <c r="B223" s="24" t="s">
        <v>1390</v>
      </c>
      <c r="C223" s="24">
        <v>15</v>
      </c>
    </row>
    <row r="224" spans="1:3" hidden="1" x14ac:dyDescent="0.2">
      <c r="A224" s="24">
        <v>52</v>
      </c>
      <c r="B224" s="24" t="s">
        <v>1393</v>
      </c>
      <c r="C224" s="24">
        <v>8</v>
      </c>
    </row>
    <row r="225" spans="1:3" hidden="1" x14ac:dyDescent="0.2">
      <c r="A225" s="24">
        <v>53</v>
      </c>
      <c r="B225" s="24" t="s">
        <v>1396</v>
      </c>
      <c r="C225" s="24">
        <v>8</v>
      </c>
    </row>
    <row r="226" spans="1:3" hidden="1" x14ac:dyDescent="0.2">
      <c r="A226" s="24">
        <v>54</v>
      </c>
      <c r="B226" s="24" t="s">
        <v>1399</v>
      </c>
      <c r="C226" s="24">
        <v>10</v>
      </c>
    </row>
    <row r="227" spans="1:3" hidden="1" x14ac:dyDescent="0.2">
      <c r="A227" s="24">
        <v>55</v>
      </c>
      <c r="B227" s="24" t="s">
        <v>317</v>
      </c>
      <c r="C227" s="24">
        <v>8</v>
      </c>
    </row>
    <row r="228" spans="1:3" hidden="1" x14ac:dyDescent="0.2">
      <c r="A228" s="24">
        <v>56</v>
      </c>
      <c r="B228" s="24" t="s">
        <v>1334</v>
      </c>
      <c r="C228" s="24">
        <v>10</v>
      </c>
    </row>
    <row r="229" spans="1:3" hidden="1" x14ac:dyDescent="0.2">
      <c r="A229" s="24">
        <v>57</v>
      </c>
      <c r="B229" s="24" t="s">
        <v>1337</v>
      </c>
      <c r="C229" s="24">
        <v>10</v>
      </c>
    </row>
    <row r="230" spans="1:3" hidden="1" x14ac:dyDescent="0.2">
      <c r="A230" s="24">
        <v>58</v>
      </c>
      <c r="B230" s="24" t="s">
        <v>1340</v>
      </c>
      <c r="C230" s="24">
        <v>11</v>
      </c>
    </row>
    <row r="231" spans="1:3" hidden="1" x14ac:dyDescent="0.2">
      <c r="A231" s="24">
        <v>60</v>
      </c>
      <c r="B231" s="24" t="s">
        <v>1343</v>
      </c>
      <c r="C231" s="24">
        <v>20</v>
      </c>
    </row>
    <row r="232" spans="1:3" hidden="1" x14ac:dyDescent="0.2">
      <c r="A232" s="24">
        <v>61</v>
      </c>
      <c r="B232" s="24" t="s">
        <v>1346</v>
      </c>
      <c r="C232" s="24">
        <v>8</v>
      </c>
    </row>
    <row r="233" spans="1:3" hidden="1" x14ac:dyDescent="0.2">
      <c r="A233" s="24">
        <v>63</v>
      </c>
      <c r="B233" s="24" t="s">
        <v>1349</v>
      </c>
      <c r="C233" s="24">
        <v>7</v>
      </c>
    </row>
    <row r="234" spans="1:3" hidden="1" x14ac:dyDescent="0.2">
      <c r="A234" s="24">
        <v>64</v>
      </c>
      <c r="B234" s="24" t="s">
        <v>1352</v>
      </c>
      <c r="C234" s="24">
        <v>14</v>
      </c>
    </row>
    <row r="235" spans="1:3" hidden="1" x14ac:dyDescent="0.2">
      <c r="A235" s="24">
        <v>65</v>
      </c>
      <c r="B235" s="24" t="s">
        <v>1355</v>
      </c>
      <c r="C235" s="24">
        <v>14</v>
      </c>
    </row>
    <row r="236" spans="1:3" hidden="1" x14ac:dyDescent="0.2">
      <c r="A236" s="24">
        <v>66</v>
      </c>
      <c r="B236" s="24" t="s">
        <v>1358</v>
      </c>
      <c r="C236" s="24">
        <v>14</v>
      </c>
    </row>
    <row r="237" spans="1:3" hidden="1" x14ac:dyDescent="0.2">
      <c r="A237" s="24">
        <v>67</v>
      </c>
      <c r="B237" s="24" t="s">
        <v>1361</v>
      </c>
      <c r="C237" s="24">
        <v>7</v>
      </c>
    </row>
    <row r="238" spans="1:3" hidden="1" x14ac:dyDescent="0.2">
      <c r="A238" s="24">
        <v>68</v>
      </c>
      <c r="B238" s="24" t="s">
        <v>1364</v>
      </c>
      <c r="C238" s="24">
        <v>12</v>
      </c>
    </row>
    <row r="239" spans="1:3" hidden="1" x14ac:dyDescent="0.2">
      <c r="A239" s="24">
        <v>69</v>
      </c>
      <c r="B239" s="24" t="s">
        <v>1370</v>
      </c>
      <c r="C239" s="24">
        <v>8</v>
      </c>
    </row>
    <row r="240" spans="1:3" hidden="1" x14ac:dyDescent="0.2">
      <c r="A240" s="24">
        <v>70</v>
      </c>
      <c r="B240" s="24" t="s">
        <v>1373</v>
      </c>
      <c r="C240" s="24">
        <v>2</v>
      </c>
    </row>
    <row r="241" spans="1:3" hidden="1" x14ac:dyDescent="0.2">
      <c r="A241" s="24">
        <v>71</v>
      </c>
      <c r="B241" s="24" t="s">
        <v>574</v>
      </c>
      <c r="C241" s="24">
        <v>7</v>
      </c>
    </row>
    <row r="242" spans="1:3" hidden="1" x14ac:dyDescent="0.2">
      <c r="A242" s="24">
        <v>72</v>
      </c>
      <c r="B242" s="24" t="s">
        <v>576</v>
      </c>
      <c r="C242" s="24">
        <v>17</v>
      </c>
    </row>
    <row r="243" spans="1:3" hidden="1" x14ac:dyDescent="0.2">
      <c r="A243" s="24">
        <v>74</v>
      </c>
      <c r="B243" s="24" t="s">
        <v>579</v>
      </c>
      <c r="C243" s="24">
        <v>8</v>
      </c>
    </row>
    <row r="244" spans="1:3" hidden="1" x14ac:dyDescent="0.2">
      <c r="A244" s="24">
        <v>75</v>
      </c>
      <c r="B244" s="24" t="s">
        <v>582</v>
      </c>
      <c r="C244" s="24">
        <v>20</v>
      </c>
    </row>
    <row r="245" spans="1:3" hidden="1" x14ac:dyDescent="0.2">
      <c r="A245" s="24">
        <v>77</v>
      </c>
      <c r="B245" s="24" t="s">
        <v>1921</v>
      </c>
      <c r="C245" s="24">
        <v>17</v>
      </c>
    </row>
    <row r="246" spans="1:3" hidden="1" x14ac:dyDescent="0.2">
      <c r="A246" s="24">
        <v>78</v>
      </c>
      <c r="B246" s="24" t="s">
        <v>585</v>
      </c>
      <c r="C246" s="24">
        <v>20</v>
      </c>
    </row>
    <row r="247" spans="1:3" hidden="1" x14ac:dyDescent="0.2">
      <c r="A247" s="24">
        <v>79</v>
      </c>
      <c r="B247" s="24" t="s">
        <v>727</v>
      </c>
      <c r="C247" s="24">
        <v>2</v>
      </c>
    </row>
    <row r="248" spans="1:3" hidden="1" x14ac:dyDescent="0.2">
      <c r="A248" s="24">
        <v>80</v>
      </c>
      <c r="B248" s="24" t="s">
        <v>730</v>
      </c>
      <c r="C248" s="24">
        <v>5</v>
      </c>
    </row>
    <row r="249" spans="1:3" hidden="1" x14ac:dyDescent="0.2">
      <c r="A249" s="24">
        <v>81</v>
      </c>
      <c r="B249" s="24" t="s">
        <v>2679</v>
      </c>
      <c r="C249" s="24">
        <v>12</v>
      </c>
    </row>
    <row r="250" spans="1:3" hidden="1" x14ac:dyDescent="0.2">
      <c r="A250" s="24">
        <v>82</v>
      </c>
      <c r="B250" s="24" t="s">
        <v>2682</v>
      </c>
      <c r="C250" s="24">
        <v>20</v>
      </c>
    </row>
    <row r="251" spans="1:3" hidden="1" x14ac:dyDescent="0.2">
      <c r="A251" s="24">
        <v>83</v>
      </c>
      <c r="B251" s="24" t="s">
        <v>1904</v>
      </c>
      <c r="C251" s="24">
        <v>3</v>
      </c>
    </row>
    <row r="252" spans="1:3" hidden="1" x14ac:dyDescent="0.2">
      <c r="A252" s="24">
        <v>84</v>
      </c>
      <c r="B252" s="24" t="s">
        <v>1907</v>
      </c>
      <c r="C252" s="24">
        <v>9</v>
      </c>
    </row>
    <row r="253" spans="1:3" hidden="1" x14ac:dyDescent="0.2">
      <c r="A253" s="24">
        <v>85</v>
      </c>
      <c r="B253" s="24" t="s">
        <v>2788</v>
      </c>
      <c r="C253" s="24">
        <v>5</v>
      </c>
    </row>
    <row r="254" spans="1:3" hidden="1" x14ac:dyDescent="0.2">
      <c r="A254" s="24">
        <v>86</v>
      </c>
      <c r="B254" s="24" t="s">
        <v>2687</v>
      </c>
      <c r="C254" s="24">
        <v>14</v>
      </c>
    </row>
    <row r="255" spans="1:3" hidden="1" x14ac:dyDescent="0.2">
      <c r="A255" s="24">
        <v>87</v>
      </c>
      <c r="B255" s="24" t="s">
        <v>663</v>
      </c>
      <c r="C255" s="24">
        <v>17</v>
      </c>
    </row>
    <row r="256" spans="1:3" hidden="1" x14ac:dyDescent="0.2">
      <c r="A256" s="24">
        <v>88</v>
      </c>
      <c r="B256" s="24" t="s">
        <v>2184</v>
      </c>
      <c r="C256" s="24">
        <v>17</v>
      </c>
    </row>
    <row r="257" spans="1:3" hidden="1" x14ac:dyDescent="0.2">
      <c r="A257" s="24">
        <v>89</v>
      </c>
      <c r="B257" s="24" t="s">
        <v>411</v>
      </c>
      <c r="C257" s="24">
        <v>20</v>
      </c>
    </row>
    <row r="258" spans="1:3" hidden="1" x14ac:dyDescent="0.2">
      <c r="A258" s="24">
        <v>90</v>
      </c>
      <c r="B258" s="24" t="s">
        <v>417</v>
      </c>
      <c r="C258" s="24">
        <v>4</v>
      </c>
    </row>
    <row r="259" spans="1:3" hidden="1" x14ac:dyDescent="0.2">
      <c r="A259" s="24">
        <v>91</v>
      </c>
      <c r="B259" s="24" t="s">
        <v>420</v>
      </c>
      <c r="C259" s="24">
        <v>14</v>
      </c>
    </row>
    <row r="260" spans="1:3" hidden="1" x14ac:dyDescent="0.2">
      <c r="A260" s="24">
        <v>92</v>
      </c>
      <c r="B260" s="24" t="s">
        <v>422</v>
      </c>
      <c r="C260" s="24">
        <v>16</v>
      </c>
    </row>
    <row r="261" spans="1:3" hidden="1" x14ac:dyDescent="0.2">
      <c r="A261" s="24">
        <v>94</v>
      </c>
      <c r="B261" s="24" t="s">
        <v>425</v>
      </c>
      <c r="C261" s="24">
        <v>14</v>
      </c>
    </row>
    <row r="262" spans="1:3" hidden="1" x14ac:dyDescent="0.2">
      <c r="A262" s="24">
        <v>95</v>
      </c>
      <c r="B262" s="24" t="s">
        <v>662</v>
      </c>
      <c r="C262" s="24">
        <v>15</v>
      </c>
    </row>
    <row r="263" spans="1:3" hidden="1" x14ac:dyDescent="0.2">
      <c r="A263" s="24">
        <v>96</v>
      </c>
      <c r="B263" s="24" t="s">
        <v>665</v>
      </c>
      <c r="C263" s="24">
        <v>6</v>
      </c>
    </row>
    <row r="264" spans="1:3" hidden="1" x14ac:dyDescent="0.2">
      <c r="A264" s="24">
        <v>97</v>
      </c>
      <c r="B264" s="24" t="s">
        <v>668</v>
      </c>
      <c r="C264" s="24">
        <v>1</v>
      </c>
    </row>
    <row r="265" spans="1:3" hidden="1" x14ac:dyDescent="0.2">
      <c r="A265" s="24">
        <v>98</v>
      </c>
      <c r="B265" s="24" t="s">
        <v>2201</v>
      </c>
      <c r="C265" s="24">
        <v>19</v>
      </c>
    </row>
    <row r="266" spans="1:3" hidden="1" x14ac:dyDescent="0.2">
      <c r="A266" s="24">
        <v>99</v>
      </c>
      <c r="B266" s="24" t="s">
        <v>635</v>
      </c>
      <c r="C266" s="24">
        <v>4</v>
      </c>
    </row>
    <row r="267" spans="1:3" hidden="1" x14ac:dyDescent="0.2">
      <c r="A267" s="24">
        <v>100</v>
      </c>
      <c r="B267" s="24" t="s">
        <v>638</v>
      </c>
      <c r="C267" s="24">
        <v>17</v>
      </c>
    </row>
    <row r="268" spans="1:3" hidden="1" x14ac:dyDescent="0.2">
      <c r="A268" s="24">
        <v>101</v>
      </c>
      <c r="B268" s="24" t="s">
        <v>193</v>
      </c>
      <c r="C268" s="24">
        <v>1</v>
      </c>
    </row>
    <row r="269" spans="1:3" hidden="1" x14ac:dyDescent="0.2">
      <c r="A269" s="24">
        <v>102</v>
      </c>
      <c r="B269" s="24" t="s">
        <v>371</v>
      </c>
      <c r="C269" s="24">
        <v>3</v>
      </c>
    </row>
    <row r="270" spans="1:3" hidden="1" x14ac:dyDescent="0.2">
      <c r="A270" s="24">
        <v>103</v>
      </c>
      <c r="B270" s="24" t="s">
        <v>374</v>
      </c>
      <c r="C270" s="24">
        <v>14</v>
      </c>
    </row>
    <row r="271" spans="1:3" hidden="1" x14ac:dyDescent="0.2">
      <c r="A271" s="24">
        <v>104</v>
      </c>
      <c r="B271" s="24" t="s">
        <v>377</v>
      </c>
      <c r="C271" s="24">
        <v>6</v>
      </c>
    </row>
    <row r="272" spans="1:3" hidden="1" x14ac:dyDescent="0.2">
      <c r="A272" s="24">
        <v>105</v>
      </c>
      <c r="B272" s="24" t="s">
        <v>380</v>
      </c>
      <c r="C272" s="24">
        <v>7</v>
      </c>
    </row>
    <row r="273" spans="1:3" hidden="1" x14ac:dyDescent="0.2">
      <c r="A273" s="24">
        <v>106</v>
      </c>
      <c r="B273" s="24" t="s">
        <v>383</v>
      </c>
      <c r="C273" s="24">
        <v>14</v>
      </c>
    </row>
    <row r="274" spans="1:3" hidden="1" x14ac:dyDescent="0.2">
      <c r="A274" s="24">
        <v>107</v>
      </c>
      <c r="B274" s="24" t="s">
        <v>386</v>
      </c>
      <c r="C274" s="24">
        <v>6</v>
      </c>
    </row>
    <row r="275" spans="1:3" hidden="1" x14ac:dyDescent="0.2">
      <c r="A275" s="24">
        <v>108</v>
      </c>
      <c r="B275" s="24" t="s">
        <v>2057</v>
      </c>
      <c r="C275" s="24">
        <v>2</v>
      </c>
    </row>
    <row r="276" spans="1:3" hidden="1" x14ac:dyDescent="0.2">
      <c r="A276" s="24">
        <v>110</v>
      </c>
      <c r="B276" s="24" t="s">
        <v>1686</v>
      </c>
      <c r="C276" s="24">
        <v>14</v>
      </c>
    </row>
    <row r="277" spans="1:3" hidden="1" x14ac:dyDescent="0.2">
      <c r="A277" s="24">
        <v>111</v>
      </c>
      <c r="B277" s="24" t="s">
        <v>2193</v>
      </c>
      <c r="C277" s="24">
        <v>14</v>
      </c>
    </row>
    <row r="278" spans="1:3" hidden="1" x14ac:dyDescent="0.2">
      <c r="A278" s="24">
        <v>113</v>
      </c>
      <c r="B278" s="24" t="s">
        <v>10</v>
      </c>
      <c r="C278" s="24">
        <v>15</v>
      </c>
    </row>
    <row r="279" spans="1:3" hidden="1" x14ac:dyDescent="0.2">
      <c r="A279" s="24">
        <v>114</v>
      </c>
      <c r="B279" s="24" t="s">
        <v>12</v>
      </c>
      <c r="C279" s="24">
        <v>1</v>
      </c>
    </row>
    <row r="280" spans="1:3" hidden="1" x14ac:dyDescent="0.2">
      <c r="A280" s="24">
        <v>115</v>
      </c>
      <c r="B280" s="24" t="s">
        <v>1841</v>
      </c>
      <c r="C280" s="24">
        <v>6</v>
      </c>
    </row>
    <row r="281" spans="1:3" hidden="1" x14ac:dyDescent="0.2">
      <c r="A281" s="24">
        <v>116</v>
      </c>
      <c r="B281" s="24" t="s">
        <v>1844</v>
      </c>
      <c r="C281" s="24">
        <v>14</v>
      </c>
    </row>
    <row r="282" spans="1:3" hidden="1" x14ac:dyDescent="0.2">
      <c r="A282" s="24">
        <v>117</v>
      </c>
      <c r="B282" s="24" t="s">
        <v>1850</v>
      </c>
      <c r="C282" s="24">
        <v>8</v>
      </c>
    </row>
    <row r="283" spans="1:3" hidden="1" x14ac:dyDescent="0.2">
      <c r="A283" s="24">
        <v>118</v>
      </c>
      <c r="B283" s="24" t="s">
        <v>1856</v>
      </c>
      <c r="C283" s="24">
        <v>12</v>
      </c>
    </row>
    <row r="284" spans="1:3" hidden="1" x14ac:dyDescent="0.2">
      <c r="A284" s="24">
        <v>119</v>
      </c>
      <c r="B284" s="24" t="s">
        <v>101</v>
      </c>
      <c r="C284" s="24">
        <v>7</v>
      </c>
    </row>
    <row r="285" spans="1:3" hidden="1" x14ac:dyDescent="0.2">
      <c r="A285" s="24">
        <v>120</v>
      </c>
      <c r="B285" s="24" t="s">
        <v>104</v>
      </c>
      <c r="C285" s="24">
        <v>4</v>
      </c>
    </row>
    <row r="286" spans="1:3" hidden="1" x14ac:dyDescent="0.2">
      <c r="A286" s="24">
        <v>121</v>
      </c>
      <c r="B286" s="24" t="s">
        <v>721</v>
      </c>
      <c r="C286" s="24">
        <v>3</v>
      </c>
    </row>
    <row r="287" spans="1:3" hidden="1" x14ac:dyDescent="0.2">
      <c r="A287" s="24">
        <v>122</v>
      </c>
      <c r="B287" s="24" t="s">
        <v>2204</v>
      </c>
      <c r="C287" s="24">
        <v>6</v>
      </c>
    </row>
    <row r="288" spans="1:3" hidden="1" x14ac:dyDescent="0.2">
      <c r="A288" s="24">
        <v>123</v>
      </c>
      <c r="B288" s="24" t="s">
        <v>2207</v>
      </c>
      <c r="C288" s="24">
        <v>20</v>
      </c>
    </row>
    <row r="289" spans="1:3" hidden="1" x14ac:dyDescent="0.2">
      <c r="A289" s="24">
        <v>124</v>
      </c>
      <c r="B289" s="24" t="s">
        <v>2210</v>
      </c>
      <c r="C289" s="24">
        <v>14</v>
      </c>
    </row>
    <row r="290" spans="1:3" hidden="1" x14ac:dyDescent="0.2">
      <c r="A290" s="24">
        <v>125</v>
      </c>
      <c r="B290" s="24" t="s">
        <v>1621</v>
      </c>
      <c r="C290" s="24">
        <v>2</v>
      </c>
    </row>
    <row r="291" spans="1:3" hidden="1" x14ac:dyDescent="0.2">
      <c r="A291" s="24">
        <v>127</v>
      </c>
      <c r="B291" s="24" t="s">
        <v>1627</v>
      </c>
      <c r="C291" s="24">
        <v>12</v>
      </c>
    </row>
    <row r="292" spans="1:3" hidden="1" x14ac:dyDescent="0.2">
      <c r="A292" s="24">
        <v>129</v>
      </c>
      <c r="B292" s="24" t="s">
        <v>751</v>
      </c>
      <c r="C292" s="24">
        <v>5</v>
      </c>
    </row>
    <row r="293" spans="1:3" hidden="1" x14ac:dyDescent="0.2">
      <c r="A293" s="24">
        <v>130</v>
      </c>
      <c r="B293" s="24" t="s">
        <v>741</v>
      </c>
      <c r="C293" s="24">
        <v>9</v>
      </c>
    </row>
    <row r="294" spans="1:3" hidden="1" x14ac:dyDescent="0.2">
      <c r="A294" s="24">
        <v>131</v>
      </c>
      <c r="B294" s="24" t="s">
        <v>744</v>
      </c>
      <c r="C294" s="24">
        <v>13</v>
      </c>
    </row>
    <row r="295" spans="1:3" hidden="1" x14ac:dyDescent="0.2">
      <c r="A295" s="24">
        <v>132</v>
      </c>
      <c r="B295" s="24" t="s">
        <v>1772</v>
      </c>
      <c r="C295" s="24">
        <v>18</v>
      </c>
    </row>
    <row r="296" spans="1:3" hidden="1" x14ac:dyDescent="0.2">
      <c r="A296" s="24">
        <v>133</v>
      </c>
      <c r="B296" s="24" t="s">
        <v>2864</v>
      </c>
      <c r="C296" s="24">
        <v>21</v>
      </c>
    </row>
    <row r="297" spans="1:3" hidden="1" x14ac:dyDescent="0.2">
      <c r="A297" s="24">
        <v>134</v>
      </c>
      <c r="B297" s="24" t="s">
        <v>1775</v>
      </c>
      <c r="C297" s="24">
        <v>17</v>
      </c>
    </row>
    <row r="298" spans="1:3" hidden="1" x14ac:dyDescent="0.2">
      <c r="A298" s="24">
        <v>135</v>
      </c>
      <c r="B298" s="24" t="s">
        <v>1600</v>
      </c>
      <c r="C298" s="24">
        <v>1</v>
      </c>
    </row>
    <row r="299" spans="1:3" hidden="1" x14ac:dyDescent="0.2">
      <c r="A299" s="24">
        <v>136</v>
      </c>
      <c r="B299" s="24" t="s">
        <v>1603</v>
      </c>
      <c r="C299" s="24">
        <v>10</v>
      </c>
    </row>
    <row r="300" spans="1:3" hidden="1" x14ac:dyDescent="0.2">
      <c r="A300" s="24">
        <v>137</v>
      </c>
      <c r="B300" s="24" t="s">
        <v>716</v>
      </c>
      <c r="C300" s="24">
        <v>16</v>
      </c>
    </row>
    <row r="301" spans="1:3" hidden="1" x14ac:dyDescent="0.2">
      <c r="A301" s="24">
        <v>138</v>
      </c>
      <c r="B301" s="24" t="s">
        <v>967</v>
      </c>
      <c r="C301" s="24">
        <v>18</v>
      </c>
    </row>
    <row r="302" spans="1:3" hidden="1" x14ac:dyDescent="0.2">
      <c r="A302" s="24">
        <v>139</v>
      </c>
      <c r="B302" s="24" t="s">
        <v>970</v>
      </c>
      <c r="C302" s="24">
        <v>7</v>
      </c>
    </row>
    <row r="303" spans="1:3" hidden="1" x14ac:dyDescent="0.2">
      <c r="A303" s="24">
        <v>140</v>
      </c>
      <c r="B303" s="24" t="s">
        <v>2317</v>
      </c>
      <c r="C303" s="24">
        <v>12</v>
      </c>
    </row>
    <row r="304" spans="1:3" hidden="1" x14ac:dyDescent="0.2">
      <c r="A304" s="24">
        <v>141</v>
      </c>
      <c r="B304" s="24" t="s">
        <v>2320</v>
      </c>
      <c r="C304" s="24">
        <v>16</v>
      </c>
    </row>
    <row r="305" spans="1:3" hidden="1" x14ac:dyDescent="0.2">
      <c r="A305" s="24">
        <v>144</v>
      </c>
      <c r="B305" s="24" t="s">
        <v>2406</v>
      </c>
      <c r="C305" s="24">
        <v>7</v>
      </c>
    </row>
    <row r="306" spans="1:3" hidden="1" x14ac:dyDescent="0.2">
      <c r="A306" s="24">
        <v>145</v>
      </c>
      <c r="B306" s="24" t="s">
        <v>2409</v>
      </c>
      <c r="C306" s="24">
        <v>6</v>
      </c>
    </row>
    <row r="307" spans="1:3" hidden="1" x14ac:dyDescent="0.2">
      <c r="A307" s="24">
        <v>146</v>
      </c>
      <c r="B307" s="24" t="s">
        <v>2412</v>
      </c>
      <c r="C307" s="24">
        <v>2</v>
      </c>
    </row>
    <row r="308" spans="1:3" hidden="1" x14ac:dyDescent="0.2">
      <c r="A308" s="24">
        <v>148</v>
      </c>
      <c r="B308" s="24" t="s">
        <v>2415</v>
      </c>
      <c r="C308" s="24">
        <v>17</v>
      </c>
    </row>
    <row r="309" spans="1:3" hidden="1" x14ac:dyDescent="0.2">
      <c r="A309" s="24">
        <v>149</v>
      </c>
      <c r="B309" s="24" t="s">
        <v>1319</v>
      </c>
      <c r="C309" s="24">
        <v>3</v>
      </c>
    </row>
    <row r="310" spans="1:3" hidden="1" x14ac:dyDescent="0.2">
      <c r="A310" s="24">
        <v>150</v>
      </c>
      <c r="B310" s="24" t="s">
        <v>216</v>
      </c>
      <c r="C310" s="24">
        <v>3</v>
      </c>
    </row>
    <row r="311" spans="1:3" hidden="1" x14ac:dyDescent="0.2">
      <c r="A311" s="24">
        <v>151</v>
      </c>
      <c r="B311" s="24" t="s">
        <v>1930</v>
      </c>
      <c r="C311" s="24">
        <v>5</v>
      </c>
    </row>
    <row r="312" spans="1:3" hidden="1" x14ac:dyDescent="0.2">
      <c r="A312" s="24">
        <v>152</v>
      </c>
      <c r="B312" s="24" t="s">
        <v>2790</v>
      </c>
      <c r="C312" s="24">
        <v>2</v>
      </c>
    </row>
    <row r="313" spans="1:3" hidden="1" x14ac:dyDescent="0.2">
      <c r="A313" s="24">
        <v>153</v>
      </c>
      <c r="B313" s="24" t="s">
        <v>2458</v>
      </c>
      <c r="C313" s="24">
        <v>17</v>
      </c>
    </row>
    <row r="314" spans="1:3" hidden="1" x14ac:dyDescent="0.2">
      <c r="A314" s="24">
        <v>154</v>
      </c>
      <c r="B314" s="24" t="s">
        <v>2461</v>
      </c>
      <c r="C314" s="24">
        <v>16</v>
      </c>
    </row>
    <row r="315" spans="1:3" hidden="1" x14ac:dyDescent="0.2">
      <c r="A315" s="24">
        <v>155</v>
      </c>
      <c r="B315" s="24" t="s">
        <v>2464</v>
      </c>
      <c r="C315" s="24">
        <v>17</v>
      </c>
    </row>
    <row r="316" spans="1:3" hidden="1" x14ac:dyDescent="0.2">
      <c r="A316" s="24">
        <v>156</v>
      </c>
      <c r="B316" s="24" t="s">
        <v>2467</v>
      </c>
      <c r="C316" s="24">
        <v>5</v>
      </c>
    </row>
    <row r="317" spans="1:3" hidden="1" x14ac:dyDescent="0.2">
      <c r="A317" s="24">
        <v>158</v>
      </c>
      <c r="B317" s="24" t="s">
        <v>2470</v>
      </c>
      <c r="C317" s="24">
        <v>1</v>
      </c>
    </row>
    <row r="318" spans="1:3" hidden="1" x14ac:dyDescent="0.2">
      <c r="A318" s="24">
        <v>159</v>
      </c>
      <c r="B318" s="24" t="s">
        <v>2473</v>
      </c>
      <c r="C318" s="24">
        <v>16</v>
      </c>
    </row>
    <row r="319" spans="1:3" hidden="1" x14ac:dyDescent="0.2">
      <c r="A319" s="24">
        <v>161</v>
      </c>
      <c r="B319" s="24" t="s">
        <v>2476</v>
      </c>
      <c r="C319" s="24">
        <v>7</v>
      </c>
    </row>
    <row r="320" spans="1:3" hidden="1" x14ac:dyDescent="0.2">
      <c r="A320" s="24">
        <v>163</v>
      </c>
      <c r="B320" s="24" t="s">
        <v>2482</v>
      </c>
      <c r="C320" s="24">
        <v>1</v>
      </c>
    </row>
    <row r="321" spans="1:3" hidden="1" x14ac:dyDescent="0.2">
      <c r="A321" s="24">
        <v>164</v>
      </c>
      <c r="B321" s="24" t="s">
        <v>2835</v>
      </c>
      <c r="C321" s="24">
        <v>11</v>
      </c>
    </row>
    <row r="322" spans="1:3" hidden="1" x14ac:dyDescent="0.2">
      <c r="A322" s="24">
        <v>165</v>
      </c>
      <c r="B322" s="24" t="s">
        <v>2838</v>
      </c>
      <c r="C322" s="24">
        <v>5</v>
      </c>
    </row>
    <row r="323" spans="1:3" hidden="1" x14ac:dyDescent="0.2">
      <c r="A323" s="24">
        <v>166</v>
      </c>
      <c r="B323" s="24" t="s">
        <v>2844</v>
      </c>
      <c r="C323" s="24">
        <v>16</v>
      </c>
    </row>
    <row r="324" spans="1:3" hidden="1" x14ac:dyDescent="0.2">
      <c r="A324" s="24">
        <v>167</v>
      </c>
      <c r="B324" s="24" t="s">
        <v>2847</v>
      </c>
      <c r="C324" s="24">
        <v>13</v>
      </c>
    </row>
    <row r="325" spans="1:3" hidden="1" x14ac:dyDescent="0.2">
      <c r="A325" s="24">
        <v>168</v>
      </c>
      <c r="B325" s="24" t="s">
        <v>2850</v>
      </c>
      <c r="C325" s="24">
        <v>3</v>
      </c>
    </row>
    <row r="326" spans="1:3" hidden="1" x14ac:dyDescent="0.2">
      <c r="A326" s="24">
        <v>169</v>
      </c>
      <c r="B326" s="24" t="s">
        <v>2853</v>
      </c>
      <c r="C326" s="24">
        <v>1</v>
      </c>
    </row>
    <row r="327" spans="1:3" hidden="1" x14ac:dyDescent="0.2">
      <c r="A327" s="24">
        <v>170</v>
      </c>
      <c r="B327" s="24" t="s">
        <v>2856</v>
      </c>
      <c r="C327" s="24">
        <v>8</v>
      </c>
    </row>
    <row r="328" spans="1:3" hidden="1" x14ac:dyDescent="0.2">
      <c r="A328" s="24">
        <v>171</v>
      </c>
      <c r="B328" s="24" t="s">
        <v>2859</v>
      </c>
      <c r="C328" s="24">
        <v>17</v>
      </c>
    </row>
    <row r="329" spans="1:3" hidden="1" x14ac:dyDescent="0.2">
      <c r="A329" s="24">
        <v>172</v>
      </c>
      <c r="B329" s="24" t="s">
        <v>2865</v>
      </c>
      <c r="C329" s="24">
        <v>4</v>
      </c>
    </row>
    <row r="330" spans="1:3" hidden="1" x14ac:dyDescent="0.2">
      <c r="A330" s="24">
        <v>173</v>
      </c>
      <c r="B330" s="24" t="s">
        <v>2868</v>
      </c>
      <c r="C330" s="24">
        <v>13</v>
      </c>
    </row>
    <row r="331" spans="1:3" hidden="1" x14ac:dyDescent="0.2">
      <c r="A331" s="24">
        <v>175</v>
      </c>
      <c r="B331" s="24" t="s">
        <v>2880</v>
      </c>
      <c r="C331" s="24">
        <v>18</v>
      </c>
    </row>
    <row r="332" spans="1:3" hidden="1" x14ac:dyDescent="0.2">
      <c r="A332" s="24">
        <v>176</v>
      </c>
      <c r="B332" s="24" t="s">
        <v>2883</v>
      </c>
      <c r="C332" s="24">
        <v>7</v>
      </c>
    </row>
    <row r="333" spans="1:3" hidden="1" x14ac:dyDescent="0.2">
      <c r="A333" s="24">
        <v>177</v>
      </c>
      <c r="B333" s="24" t="s">
        <v>2306</v>
      </c>
      <c r="C333" s="24">
        <v>11</v>
      </c>
    </row>
    <row r="334" spans="1:3" hidden="1" x14ac:dyDescent="0.2">
      <c r="A334" s="24">
        <v>178</v>
      </c>
      <c r="B334" s="24" t="s">
        <v>2309</v>
      </c>
      <c r="C334" s="24">
        <v>9</v>
      </c>
    </row>
    <row r="335" spans="1:3" hidden="1" x14ac:dyDescent="0.2">
      <c r="A335" s="24">
        <v>179</v>
      </c>
      <c r="B335" s="24" t="s">
        <v>789</v>
      </c>
      <c r="C335" s="24">
        <v>4</v>
      </c>
    </row>
    <row r="336" spans="1:3" hidden="1" x14ac:dyDescent="0.2">
      <c r="A336" s="24">
        <v>180</v>
      </c>
      <c r="B336" s="24" t="s">
        <v>2096</v>
      </c>
      <c r="C336" s="24">
        <v>8</v>
      </c>
    </row>
    <row r="337" spans="1:3" hidden="1" x14ac:dyDescent="0.2">
      <c r="A337" s="24">
        <v>181</v>
      </c>
      <c r="B337" s="24" t="s">
        <v>438</v>
      </c>
      <c r="C337" s="24">
        <v>17</v>
      </c>
    </row>
    <row r="338" spans="1:3" hidden="1" x14ac:dyDescent="0.2">
      <c r="A338" s="24">
        <v>183</v>
      </c>
      <c r="B338" s="24" t="s">
        <v>1881</v>
      </c>
      <c r="C338" s="24">
        <v>15</v>
      </c>
    </row>
    <row r="339" spans="1:3" hidden="1" x14ac:dyDescent="0.2">
      <c r="A339" s="24">
        <v>184</v>
      </c>
      <c r="B339" s="24" t="s">
        <v>1882</v>
      </c>
      <c r="C339" s="24">
        <v>15</v>
      </c>
    </row>
    <row r="340" spans="1:3" hidden="1" x14ac:dyDescent="0.2">
      <c r="A340" s="24">
        <v>185</v>
      </c>
      <c r="B340" s="24" t="s">
        <v>2183</v>
      </c>
      <c r="C340" s="24">
        <v>12</v>
      </c>
    </row>
    <row r="341" spans="1:3" hidden="1" x14ac:dyDescent="0.2">
      <c r="A341" s="24">
        <v>186</v>
      </c>
      <c r="B341" s="24" t="s">
        <v>2186</v>
      </c>
      <c r="C341" s="24">
        <v>8</v>
      </c>
    </row>
    <row r="342" spans="1:3" hidden="1" x14ac:dyDescent="0.2">
      <c r="A342" s="24">
        <v>187</v>
      </c>
      <c r="B342" s="24" t="s">
        <v>2189</v>
      </c>
      <c r="C342" s="24">
        <v>2</v>
      </c>
    </row>
    <row r="343" spans="1:3" hidden="1" x14ac:dyDescent="0.2">
      <c r="A343" s="24">
        <v>189</v>
      </c>
      <c r="B343" s="24" t="s">
        <v>2080</v>
      </c>
      <c r="C343" s="24">
        <v>5</v>
      </c>
    </row>
    <row r="344" spans="1:3" hidden="1" x14ac:dyDescent="0.2">
      <c r="A344" s="24">
        <v>190</v>
      </c>
      <c r="B344" s="24" t="s">
        <v>2083</v>
      </c>
      <c r="C344" s="24">
        <v>1</v>
      </c>
    </row>
    <row r="345" spans="1:3" hidden="1" x14ac:dyDescent="0.2">
      <c r="A345" s="24">
        <v>192</v>
      </c>
      <c r="B345" s="24" t="s">
        <v>220</v>
      </c>
      <c r="C345" s="24">
        <v>17</v>
      </c>
    </row>
    <row r="346" spans="1:3" hidden="1" x14ac:dyDescent="0.2">
      <c r="A346" s="24">
        <v>193</v>
      </c>
      <c r="B346" s="24" t="s">
        <v>223</v>
      </c>
      <c r="C346" s="24">
        <v>1</v>
      </c>
    </row>
    <row r="347" spans="1:3" hidden="1" x14ac:dyDescent="0.2">
      <c r="A347" s="24">
        <v>194</v>
      </c>
      <c r="B347" s="24" t="s">
        <v>226</v>
      </c>
      <c r="C347" s="24">
        <v>6</v>
      </c>
    </row>
    <row r="348" spans="1:3" hidden="1" x14ac:dyDescent="0.2">
      <c r="A348" s="24">
        <v>195</v>
      </c>
      <c r="B348" s="24" t="s">
        <v>229</v>
      </c>
      <c r="C348" s="24">
        <v>14</v>
      </c>
    </row>
    <row r="349" spans="1:3" hidden="1" x14ac:dyDescent="0.2">
      <c r="A349" s="24">
        <v>196</v>
      </c>
      <c r="B349" s="24" t="s">
        <v>232</v>
      </c>
      <c r="C349" s="24">
        <v>15</v>
      </c>
    </row>
    <row r="350" spans="1:3" hidden="1" x14ac:dyDescent="0.2">
      <c r="A350" s="24">
        <v>197</v>
      </c>
      <c r="B350" s="24" t="s">
        <v>238</v>
      </c>
      <c r="C350" s="24">
        <v>17</v>
      </c>
    </row>
    <row r="351" spans="1:3" hidden="1" x14ac:dyDescent="0.2">
      <c r="A351" s="24">
        <v>198</v>
      </c>
      <c r="B351" s="24" t="s">
        <v>241</v>
      </c>
      <c r="C351" s="24">
        <v>19</v>
      </c>
    </row>
    <row r="352" spans="1:3" hidden="1" x14ac:dyDescent="0.2">
      <c r="A352" s="24">
        <v>199</v>
      </c>
      <c r="B352" s="24" t="s">
        <v>2303</v>
      </c>
      <c r="C352" s="24">
        <v>7</v>
      </c>
    </row>
    <row r="353" spans="1:3" hidden="1" x14ac:dyDescent="0.2">
      <c r="A353" s="24">
        <v>200</v>
      </c>
      <c r="B353" s="24" t="s">
        <v>184</v>
      </c>
      <c r="C353" s="24">
        <v>2</v>
      </c>
    </row>
    <row r="354" spans="1:3" hidden="1" x14ac:dyDescent="0.2">
      <c r="A354" s="24">
        <v>201</v>
      </c>
      <c r="B354" s="24" t="s">
        <v>797</v>
      </c>
      <c r="C354" s="24">
        <v>6</v>
      </c>
    </row>
    <row r="355" spans="1:3" hidden="1" x14ac:dyDescent="0.2">
      <c r="A355" s="24">
        <v>202</v>
      </c>
      <c r="B355" s="24" t="s">
        <v>800</v>
      </c>
      <c r="C355" s="24">
        <v>6</v>
      </c>
    </row>
    <row r="356" spans="1:3" hidden="1" x14ac:dyDescent="0.2">
      <c r="A356" s="24">
        <v>203</v>
      </c>
      <c r="B356" s="24" t="s">
        <v>803</v>
      </c>
      <c r="C356" s="24">
        <v>6</v>
      </c>
    </row>
    <row r="357" spans="1:3" hidden="1" x14ac:dyDescent="0.2">
      <c r="A357" s="24">
        <v>204</v>
      </c>
      <c r="B357" s="24" t="s">
        <v>806</v>
      </c>
      <c r="C357" s="24">
        <v>19</v>
      </c>
    </row>
    <row r="358" spans="1:3" hidden="1" x14ac:dyDescent="0.2">
      <c r="A358" s="24">
        <v>205</v>
      </c>
      <c r="B358" s="24" t="s">
        <v>812</v>
      </c>
      <c r="C358" s="24">
        <v>14</v>
      </c>
    </row>
    <row r="359" spans="1:3" hidden="1" x14ac:dyDescent="0.2">
      <c r="A359" s="24">
        <v>206</v>
      </c>
      <c r="B359" s="24" t="s">
        <v>815</v>
      </c>
      <c r="C359" s="24">
        <v>20</v>
      </c>
    </row>
    <row r="360" spans="1:3" hidden="1" x14ac:dyDescent="0.2">
      <c r="A360" s="24">
        <v>208</v>
      </c>
      <c r="B360" s="24" t="s">
        <v>818</v>
      </c>
      <c r="C360" s="24">
        <v>2</v>
      </c>
    </row>
    <row r="361" spans="1:3" hidden="1" x14ac:dyDescent="0.2">
      <c r="A361" s="24">
        <v>209</v>
      </c>
      <c r="B361" s="24" t="s">
        <v>2144</v>
      </c>
      <c r="C361" s="24">
        <v>8</v>
      </c>
    </row>
    <row r="362" spans="1:3" hidden="1" x14ac:dyDescent="0.2">
      <c r="A362" s="24">
        <v>211</v>
      </c>
      <c r="B362" s="24" t="s">
        <v>2147</v>
      </c>
      <c r="C362" s="24">
        <v>2</v>
      </c>
    </row>
    <row r="363" spans="1:3" hidden="1" x14ac:dyDescent="0.2">
      <c r="A363" s="24">
        <v>212</v>
      </c>
      <c r="B363" s="24" t="s">
        <v>2150</v>
      </c>
      <c r="C363" s="24">
        <v>2</v>
      </c>
    </row>
    <row r="364" spans="1:3" hidden="1" x14ac:dyDescent="0.2">
      <c r="A364" s="24">
        <v>213</v>
      </c>
      <c r="B364" s="24" t="s">
        <v>2159</v>
      </c>
      <c r="C364" s="24">
        <v>1</v>
      </c>
    </row>
    <row r="365" spans="1:3" hidden="1" x14ac:dyDescent="0.2">
      <c r="A365" s="24">
        <v>214</v>
      </c>
      <c r="B365" s="24" t="s">
        <v>2162</v>
      </c>
      <c r="C365" s="24">
        <v>6</v>
      </c>
    </row>
    <row r="366" spans="1:3" hidden="1" x14ac:dyDescent="0.2">
      <c r="A366" s="24">
        <v>215</v>
      </c>
      <c r="B366" s="24" t="s">
        <v>1753</v>
      </c>
      <c r="C366" s="24">
        <v>8</v>
      </c>
    </row>
    <row r="367" spans="1:3" hidden="1" x14ac:dyDescent="0.2">
      <c r="A367" s="24">
        <v>216</v>
      </c>
      <c r="B367" s="24" t="s">
        <v>1910</v>
      </c>
      <c r="C367" s="24">
        <v>4</v>
      </c>
    </row>
    <row r="368" spans="1:3" hidden="1" x14ac:dyDescent="0.2">
      <c r="A368" s="24">
        <v>217</v>
      </c>
      <c r="B368" s="24" t="s">
        <v>1913</v>
      </c>
      <c r="C368" s="24">
        <v>18</v>
      </c>
    </row>
    <row r="369" spans="1:3" hidden="1" x14ac:dyDescent="0.2">
      <c r="A369" s="24">
        <v>219</v>
      </c>
      <c r="B369" s="24" t="s">
        <v>1919</v>
      </c>
      <c r="C369" s="24">
        <v>19</v>
      </c>
    </row>
    <row r="370" spans="1:3" hidden="1" x14ac:dyDescent="0.2">
      <c r="A370" s="24">
        <v>220</v>
      </c>
      <c r="B370" s="24" t="s">
        <v>1925</v>
      </c>
      <c r="C370" s="24">
        <v>3</v>
      </c>
    </row>
    <row r="371" spans="1:3" hidden="1" x14ac:dyDescent="0.2">
      <c r="A371" s="24">
        <v>221</v>
      </c>
      <c r="B371" s="24" t="s">
        <v>1928</v>
      </c>
      <c r="C371" s="24">
        <v>11</v>
      </c>
    </row>
    <row r="372" spans="1:3" hidden="1" x14ac:dyDescent="0.2">
      <c r="A372" s="24">
        <v>222</v>
      </c>
      <c r="B372" s="24" t="s">
        <v>1931</v>
      </c>
      <c r="C372" s="24">
        <v>18</v>
      </c>
    </row>
    <row r="373" spans="1:3" hidden="1" x14ac:dyDescent="0.2">
      <c r="A373" s="24">
        <v>223</v>
      </c>
      <c r="B373" s="24" t="s">
        <v>1934</v>
      </c>
      <c r="C373" s="24">
        <v>18</v>
      </c>
    </row>
    <row r="374" spans="1:3" hidden="1" x14ac:dyDescent="0.2">
      <c r="A374" s="24">
        <v>225</v>
      </c>
      <c r="B374" s="24" t="s">
        <v>1937</v>
      </c>
      <c r="C374" s="24">
        <v>4</v>
      </c>
    </row>
    <row r="375" spans="1:3" hidden="1" x14ac:dyDescent="0.2">
      <c r="A375" s="24">
        <v>226</v>
      </c>
      <c r="B375" s="24" t="s">
        <v>1940</v>
      </c>
      <c r="C375" s="24">
        <v>19</v>
      </c>
    </row>
    <row r="376" spans="1:3" hidden="1" x14ac:dyDescent="0.2">
      <c r="A376" s="24">
        <v>227</v>
      </c>
      <c r="B376" s="24" t="s">
        <v>2123</v>
      </c>
      <c r="C376" s="24">
        <v>6</v>
      </c>
    </row>
    <row r="377" spans="1:3" hidden="1" x14ac:dyDescent="0.2">
      <c r="A377" s="24">
        <v>228</v>
      </c>
      <c r="B377" s="24" t="s">
        <v>2126</v>
      </c>
      <c r="C377" s="24">
        <v>3</v>
      </c>
    </row>
    <row r="378" spans="1:3" hidden="1" x14ac:dyDescent="0.2">
      <c r="A378" s="24">
        <v>229</v>
      </c>
      <c r="B378" s="24" t="s">
        <v>126</v>
      </c>
      <c r="C378" s="24">
        <v>5</v>
      </c>
    </row>
    <row r="379" spans="1:3" hidden="1" x14ac:dyDescent="0.2">
      <c r="A379" s="24">
        <v>230</v>
      </c>
      <c r="B379" s="24" t="s">
        <v>129</v>
      </c>
      <c r="C379" s="24">
        <v>14</v>
      </c>
    </row>
    <row r="380" spans="1:3" hidden="1" x14ac:dyDescent="0.2">
      <c r="A380" s="24">
        <v>231</v>
      </c>
      <c r="B380" s="24" t="s">
        <v>2779</v>
      </c>
      <c r="C380" s="24">
        <v>11</v>
      </c>
    </row>
    <row r="381" spans="1:3" hidden="1" x14ac:dyDescent="0.2">
      <c r="A381" s="24">
        <v>232</v>
      </c>
      <c r="B381" s="24" t="s">
        <v>1376</v>
      </c>
      <c r="C381" s="24">
        <v>3</v>
      </c>
    </row>
    <row r="382" spans="1:3" hidden="1" x14ac:dyDescent="0.2">
      <c r="A382" s="24">
        <v>234</v>
      </c>
      <c r="B382" s="24" t="s">
        <v>1379</v>
      </c>
      <c r="C382" s="24">
        <v>13</v>
      </c>
    </row>
    <row r="383" spans="1:3" hidden="1" x14ac:dyDescent="0.2">
      <c r="A383" s="24">
        <v>235</v>
      </c>
      <c r="B383" s="24" t="s">
        <v>1382</v>
      </c>
      <c r="C383" s="24">
        <v>18</v>
      </c>
    </row>
    <row r="384" spans="1:3" hidden="1" x14ac:dyDescent="0.2">
      <c r="A384" s="24">
        <v>236</v>
      </c>
      <c r="B384" s="24" t="s">
        <v>1385</v>
      </c>
      <c r="C384" s="24">
        <v>2</v>
      </c>
    </row>
    <row r="385" spans="1:3" hidden="1" x14ac:dyDescent="0.2">
      <c r="A385" s="24">
        <v>237</v>
      </c>
      <c r="B385" s="24" t="s">
        <v>1388</v>
      </c>
      <c r="C385" s="24">
        <v>8</v>
      </c>
    </row>
    <row r="386" spans="1:3" hidden="1" x14ac:dyDescent="0.2">
      <c r="A386" s="24">
        <v>239</v>
      </c>
      <c r="B386" s="24" t="s">
        <v>1397</v>
      </c>
      <c r="C386" s="24">
        <v>16</v>
      </c>
    </row>
    <row r="387" spans="1:3" hidden="1" x14ac:dyDescent="0.2">
      <c r="A387" s="24">
        <v>240</v>
      </c>
      <c r="B387" s="24" t="s">
        <v>1400</v>
      </c>
      <c r="C387" s="24">
        <v>9</v>
      </c>
    </row>
    <row r="388" spans="1:3" hidden="1" x14ac:dyDescent="0.2">
      <c r="A388" s="24">
        <v>242</v>
      </c>
      <c r="B388" s="24" t="s">
        <v>1332</v>
      </c>
      <c r="C388" s="24">
        <v>8</v>
      </c>
    </row>
    <row r="389" spans="1:3" hidden="1" x14ac:dyDescent="0.2">
      <c r="A389" s="24">
        <v>243</v>
      </c>
      <c r="B389" s="24" t="s">
        <v>1335</v>
      </c>
      <c r="C389" s="24">
        <v>17</v>
      </c>
    </row>
    <row r="390" spans="1:3" hidden="1" x14ac:dyDescent="0.2">
      <c r="A390" s="24">
        <v>244</v>
      </c>
      <c r="B390" s="24" t="s">
        <v>1338</v>
      </c>
      <c r="C390" s="24">
        <v>5</v>
      </c>
    </row>
    <row r="391" spans="1:3" hidden="1" x14ac:dyDescent="0.2">
      <c r="A391" s="24">
        <v>245</v>
      </c>
      <c r="B391" s="24" t="s">
        <v>1344</v>
      </c>
      <c r="C391" s="24">
        <v>10</v>
      </c>
    </row>
    <row r="392" spans="1:3" hidden="1" x14ac:dyDescent="0.2">
      <c r="A392" s="24">
        <v>246</v>
      </c>
      <c r="B392" s="24" t="s">
        <v>1350</v>
      </c>
      <c r="C392" s="24">
        <v>18</v>
      </c>
    </row>
    <row r="393" spans="1:3" hidden="1" x14ac:dyDescent="0.2">
      <c r="A393" s="24">
        <v>247</v>
      </c>
      <c r="B393" s="24" t="s">
        <v>1353</v>
      </c>
      <c r="C393" s="24">
        <v>5</v>
      </c>
    </row>
    <row r="394" spans="1:3" hidden="1" x14ac:dyDescent="0.2">
      <c r="A394" s="24">
        <v>248</v>
      </c>
      <c r="B394" s="24" t="s">
        <v>1356</v>
      </c>
      <c r="C394" s="24">
        <v>2</v>
      </c>
    </row>
    <row r="395" spans="1:3" hidden="1" x14ac:dyDescent="0.2">
      <c r="A395" s="24">
        <v>249</v>
      </c>
      <c r="B395" s="24" t="s">
        <v>1365</v>
      </c>
      <c r="C395" s="24">
        <v>17</v>
      </c>
    </row>
    <row r="396" spans="1:3" hidden="1" x14ac:dyDescent="0.2">
      <c r="A396" s="24">
        <v>250</v>
      </c>
      <c r="B396" s="24" t="s">
        <v>1368</v>
      </c>
      <c r="C396" s="24">
        <v>20</v>
      </c>
    </row>
    <row r="397" spans="1:3" hidden="1" x14ac:dyDescent="0.2">
      <c r="A397" s="24">
        <v>251</v>
      </c>
      <c r="B397" s="24" t="s">
        <v>1371</v>
      </c>
      <c r="C397" s="24">
        <v>5</v>
      </c>
    </row>
    <row r="398" spans="1:3" hidden="1" x14ac:dyDescent="0.2">
      <c r="A398" s="24">
        <v>252</v>
      </c>
      <c r="B398" s="24" t="s">
        <v>2612</v>
      </c>
      <c r="C398" s="24">
        <v>8</v>
      </c>
    </row>
    <row r="399" spans="1:3" hidden="1" x14ac:dyDescent="0.2">
      <c r="A399" s="24">
        <v>253</v>
      </c>
      <c r="B399" s="24" t="s">
        <v>575</v>
      </c>
      <c r="C399" s="24">
        <v>8</v>
      </c>
    </row>
    <row r="400" spans="1:3" hidden="1" x14ac:dyDescent="0.2">
      <c r="A400" s="24">
        <v>254</v>
      </c>
      <c r="B400" s="24" t="s">
        <v>577</v>
      </c>
      <c r="C400" s="24">
        <v>18</v>
      </c>
    </row>
    <row r="401" spans="1:3" hidden="1" x14ac:dyDescent="0.2">
      <c r="A401" s="24">
        <v>256</v>
      </c>
      <c r="B401" s="24" t="s">
        <v>580</v>
      </c>
      <c r="C401" s="24">
        <v>2</v>
      </c>
    </row>
    <row r="402" spans="1:3" hidden="1" x14ac:dyDescent="0.2">
      <c r="A402" s="24">
        <v>257</v>
      </c>
      <c r="B402" s="24" t="s">
        <v>586</v>
      </c>
      <c r="C402" s="24">
        <v>14</v>
      </c>
    </row>
    <row r="403" spans="1:3" hidden="1" x14ac:dyDescent="0.2">
      <c r="A403" s="24">
        <v>258</v>
      </c>
      <c r="B403" s="24" t="s">
        <v>725</v>
      </c>
      <c r="C403" s="24">
        <v>17</v>
      </c>
    </row>
    <row r="404" spans="1:3" hidden="1" x14ac:dyDescent="0.2">
      <c r="A404" s="24">
        <v>259</v>
      </c>
      <c r="B404" s="24" t="s">
        <v>731</v>
      </c>
      <c r="C404" s="24">
        <v>3</v>
      </c>
    </row>
    <row r="405" spans="1:3" hidden="1" x14ac:dyDescent="0.2">
      <c r="A405" s="24">
        <v>260</v>
      </c>
      <c r="B405" s="24" t="s">
        <v>2680</v>
      </c>
      <c r="C405" s="24">
        <v>5</v>
      </c>
    </row>
    <row r="406" spans="1:3" hidden="1" x14ac:dyDescent="0.2">
      <c r="A406" s="24">
        <v>261</v>
      </c>
      <c r="B406" s="24" t="s">
        <v>1902</v>
      </c>
      <c r="C406" s="24">
        <v>8</v>
      </c>
    </row>
    <row r="407" spans="1:3" hidden="1" x14ac:dyDescent="0.2">
      <c r="A407" s="24">
        <v>263</v>
      </c>
      <c r="B407" s="24" t="s">
        <v>1905</v>
      </c>
      <c r="C407" s="24">
        <v>18</v>
      </c>
    </row>
    <row r="408" spans="1:3" hidden="1" x14ac:dyDescent="0.2">
      <c r="A408" s="24">
        <v>264</v>
      </c>
      <c r="B408" s="24" t="s">
        <v>2683</v>
      </c>
      <c r="C408" s="24">
        <v>19</v>
      </c>
    </row>
    <row r="409" spans="1:3" hidden="1" x14ac:dyDescent="0.2">
      <c r="A409" s="24">
        <v>265</v>
      </c>
      <c r="B409" s="24" t="s">
        <v>2685</v>
      </c>
      <c r="C409" s="24">
        <v>2</v>
      </c>
    </row>
    <row r="410" spans="1:3" hidden="1" x14ac:dyDescent="0.2">
      <c r="A410" s="24">
        <v>266</v>
      </c>
      <c r="B410" s="24" t="s">
        <v>409</v>
      </c>
      <c r="C410" s="24">
        <v>10</v>
      </c>
    </row>
    <row r="411" spans="1:3" hidden="1" x14ac:dyDescent="0.2">
      <c r="A411" s="24">
        <v>267</v>
      </c>
      <c r="B411" s="24" t="s">
        <v>412</v>
      </c>
      <c r="C411" s="24">
        <v>17</v>
      </c>
    </row>
    <row r="412" spans="1:3" hidden="1" x14ac:dyDescent="0.2">
      <c r="A412" s="24">
        <v>268</v>
      </c>
      <c r="B412" s="24" t="s">
        <v>415</v>
      </c>
      <c r="C412" s="24">
        <v>19</v>
      </c>
    </row>
    <row r="413" spans="1:3" hidden="1" x14ac:dyDescent="0.2">
      <c r="A413" s="24">
        <v>270</v>
      </c>
      <c r="B413" s="24" t="s">
        <v>418</v>
      </c>
      <c r="C413" s="24">
        <v>6</v>
      </c>
    </row>
    <row r="414" spans="1:3" hidden="1" x14ac:dyDescent="0.2">
      <c r="A414" s="24">
        <v>271</v>
      </c>
      <c r="B414" s="24" t="s">
        <v>2839</v>
      </c>
      <c r="C414" s="24">
        <v>14</v>
      </c>
    </row>
    <row r="415" spans="1:3" hidden="1" x14ac:dyDescent="0.2">
      <c r="A415" s="24">
        <v>273</v>
      </c>
      <c r="B415" s="24" t="s">
        <v>421</v>
      </c>
      <c r="C415" s="24">
        <v>8</v>
      </c>
    </row>
    <row r="416" spans="1:3" hidden="1" x14ac:dyDescent="0.2">
      <c r="A416" s="24">
        <v>274</v>
      </c>
      <c r="B416" s="24" t="s">
        <v>423</v>
      </c>
      <c r="C416" s="24">
        <v>18</v>
      </c>
    </row>
    <row r="417" spans="1:3" hidden="1" x14ac:dyDescent="0.2">
      <c r="A417" s="24">
        <v>275</v>
      </c>
      <c r="B417" s="24" t="s">
        <v>426</v>
      </c>
      <c r="C417" s="24">
        <v>8</v>
      </c>
    </row>
    <row r="418" spans="1:3" hidden="1" x14ac:dyDescent="0.2">
      <c r="A418" s="24">
        <v>276</v>
      </c>
      <c r="B418" s="24" t="s">
        <v>666</v>
      </c>
      <c r="C418" s="24">
        <v>20</v>
      </c>
    </row>
    <row r="419" spans="1:3" hidden="1" x14ac:dyDescent="0.2">
      <c r="A419" s="24">
        <v>278</v>
      </c>
      <c r="B419" s="24" t="s">
        <v>1303</v>
      </c>
      <c r="C419" s="24">
        <v>14</v>
      </c>
    </row>
    <row r="420" spans="1:3" hidden="1" x14ac:dyDescent="0.2">
      <c r="A420" s="24">
        <v>279</v>
      </c>
      <c r="B420" s="24" t="s">
        <v>1306</v>
      </c>
      <c r="C420" s="24">
        <v>20</v>
      </c>
    </row>
    <row r="421" spans="1:3" hidden="1" x14ac:dyDescent="0.2">
      <c r="A421" s="24">
        <v>280</v>
      </c>
      <c r="B421" s="24" t="s">
        <v>636</v>
      </c>
      <c r="C421" s="24">
        <v>17</v>
      </c>
    </row>
    <row r="422" spans="1:3" hidden="1" x14ac:dyDescent="0.2">
      <c r="A422" s="24">
        <v>281</v>
      </c>
      <c r="B422" s="24" t="s">
        <v>639</v>
      </c>
      <c r="C422" s="24">
        <v>4</v>
      </c>
    </row>
    <row r="423" spans="1:3" hidden="1" x14ac:dyDescent="0.2">
      <c r="A423" s="24">
        <v>282</v>
      </c>
      <c r="B423" s="24" t="s">
        <v>197</v>
      </c>
      <c r="C423" s="24">
        <v>13</v>
      </c>
    </row>
    <row r="424" spans="1:3" hidden="1" x14ac:dyDescent="0.2">
      <c r="A424" s="24">
        <v>283</v>
      </c>
      <c r="B424" s="24" t="s">
        <v>372</v>
      </c>
      <c r="C424" s="24">
        <v>10</v>
      </c>
    </row>
    <row r="425" spans="1:3" hidden="1" x14ac:dyDescent="0.2">
      <c r="A425" s="24">
        <v>284</v>
      </c>
      <c r="B425" s="24" t="s">
        <v>375</v>
      </c>
      <c r="C425" s="24">
        <v>12</v>
      </c>
    </row>
    <row r="426" spans="1:3" hidden="1" x14ac:dyDescent="0.2">
      <c r="A426" s="24">
        <v>285</v>
      </c>
      <c r="B426" s="24" t="s">
        <v>378</v>
      </c>
      <c r="C426" s="24">
        <v>12</v>
      </c>
    </row>
    <row r="427" spans="1:3" hidden="1" x14ac:dyDescent="0.2">
      <c r="A427" s="24">
        <v>287</v>
      </c>
      <c r="B427" s="24" t="s">
        <v>381</v>
      </c>
      <c r="C427" s="24">
        <v>7</v>
      </c>
    </row>
    <row r="428" spans="1:3" hidden="1" x14ac:dyDescent="0.2">
      <c r="A428" s="24">
        <v>288</v>
      </c>
      <c r="B428" s="24" t="s">
        <v>384</v>
      </c>
      <c r="C428" s="24">
        <v>9</v>
      </c>
    </row>
    <row r="429" spans="1:3" hidden="1" x14ac:dyDescent="0.2">
      <c r="A429" s="24">
        <v>289</v>
      </c>
      <c r="B429" s="24" t="s">
        <v>2058</v>
      </c>
      <c r="C429" s="24">
        <v>5</v>
      </c>
    </row>
    <row r="430" spans="1:3" hidden="1" x14ac:dyDescent="0.2">
      <c r="A430" s="24">
        <v>290</v>
      </c>
      <c r="B430" s="24" t="s">
        <v>1687</v>
      </c>
      <c r="C430" s="24">
        <v>8</v>
      </c>
    </row>
    <row r="431" spans="1:3" hidden="1" x14ac:dyDescent="0.2">
      <c r="A431" s="24">
        <v>291</v>
      </c>
      <c r="B431" s="24" t="s">
        <v>2791</v>
      </c>
      <c r="C431" s="24">
        <v>18</v>
      </c>
    </row>
    <row r="432" spans="1:3" hidden="1" x14ac:dyDescent="0.2">
      <c r="A432" s="24">
        <v>292</v>
      </c>
      <c r="B432" s="24" t="s">
        <v>13</v>
      </c>
      <c r="C432" s="24">
        <v>6</v>
      </c>
    </row>
    <row r="433" spans="1:3" hidden="1" x14ac:dyDescent="0.2">
      <c r="A433" s="24">
        <v>293</v>
      </c>
      <c r="B433" s="24" t="s">
        <v>1842</v>
      </c>
      <c r="C433" s="24">
        <v>3</v>
      </c>
    </row>
    <row r="434" spans="1:3" hidden="1" x14ac:dyDescent="0.2">
      <c r="A434" s="24">
        <v>294</v>
      </c>
      <c r="B434" s="24" t="s">
        <v>1845</v>
      </c>
      <c r="C434" s="24">
        <v>16</v>
      </c>
    </row>
    <row r="435" spans="1:3" hidden="1" x14ac:dyDescent="0.2">
      <c r="A435" s="24">
        <v>295</v>
      </c>
      <c r="B435" s="24" t="s">
        <v>194</v>
      </c>
      <c r="C435" s="24">
        <v>16</v>
      </c>
    </row>
    <row r="436" spans="1:3" hidden="1" x14ac:dyDescent="0.2">
      <c r="A436" s="24">
        <v>296</v>
      </c>
      <c r="B436" s="24" t="s">
        <v>1848</v>
      </c>
      <c r="C436" s="24">
        <v>13</v>
      </c>
    </row>
    <row r="437" spans="1:3" hidden="1" x14ac:dyDescent="0.2">
      <c r="A437" s="24">
        <v>297</v>
      </c>
      <c r="B437" s="24" t="s">
        <v>1851</v>
      </c>
      <c r="C437" s="24">
        <v>4</v>
      </c>
    </row>
    <row r="438" spans="1:3" hidden="1" x14ac:dyDescent="0.2">
      <c r="A438" s="24">
        <v>298</v>
      </c>
      <c r="B438" s="24" t="s">
        <v>2187</v>
      </c>
      <c r="C438" s="24">
        <v>15</v>
      </c>
    </row>
    <row r="439" spans="1:3" hidden="1" x14ac:dyDescent="0.2">
      <c r="A439" s="24">
        <v>299</v>
      </c>
      <c r="B439" s="24" t="s">
        <v>2192</v>
      </c>
      <c r="C439" s="24">
        <v>12</v>
      </c>
    </row>
    <row r="440" spans="1:3" hidden="1" x14ac:dyDescent="0.2">
      <c r="A440" s="24">
        <v>300</v>
      </c>
      <c r="B440" s="24" t="s">
        <v>102</v>
      </c>
      <c r="C440" s="24">
        <v>17</v>
      </c>
    </row>
    <row r="441" spans="1:3" hidden="1" x14ac:dyDescent="0.2">
      <c r="A441" s="24">
        <v>301</v>
      </c>
      <c r="B441" s="24" t="s">
        <v>105</v>
      </c>
      <c r="C441" s="24">
        <v>8</v>
      </c>
    </row>
    <row r="442" spans="1:3" hidden="1" x14ac:dyDescent="0.2">
      <c r="A442" s="24">
        <v>302</v>
      </c>
      <c r="B442" s="24" t="s">
        <v>722</v>
      </c>
      <c r="C442" s="24">
        <v>8</v>
      </c>
    </row>
    <row r="443" spans="1:3" hidden="1" x14ac:dyDescent="0.2">
      <c r="A443" s="24">
        <v>303</v>
      </c>
      <c r="B443" s="24" t="s">
        <v>2205</v>
      </c>
      <c r="C443" s="24">
        <v>12</v>
      </c>
    </row>
    <row r="444" spans="1:3" hidden="1" x14ac:dyDescent="0.2">
      <c r="A444" s="24">
        <v>304</v>
      </c>
      <c r="B444" s="24" t="s">
        <v>2208</v>
      </c>
      <c r="C444" s="24">
        <v>18</v>
      </c>
    </row>
    <row r="445" spans="1:3" hidden="1" x14ac:dyDescent="0.2">
      <c r="A445" s="24">
        <v>306</v>
      </c>
      <c r="B445" s="24" t="s">
        <v>1616</v>
      </c>
      <c r="C445" s="24">
        <v>19</v>
      </c>
    </row>
    <row r="446" spans="1:3" hidden="1" x14ac:dyDescent="0.2">
      <c r="A446" s="24">
        <v>307</v>
      </c>
      <c r="B446" s="24" t="s">
        <v>1619</v>
      </c>
      <c r="C446" s="24">
        <v>10</v>
      </c>
    </row>
    <row r="447" spans="1:3" hidden="1" x14ac:dyDescent="0.2">
      <c r="A447" s="24">
        <v>308</v>
      </c>
      <c r="B447" s="24" t="s">
        <v>1622</v>
      </c>
      <c r="C447" s="24">
        <v>19</v>
      </c>
    </row>
    <row r="448" spans="1:3" hidden="1" x14ac:dyDescent="0.2">
      <c r="A448" s="24">
        <v>309</v>
      </c>
      <c r="B448" s="24" t="s">
        <v>1628</v>
      </c>
      <c r="C448" s="24">
        <v>12</v>
      </c>
    </row>
    <row r="449" spans="1:3" hidden="1" x14ac:dyDescent="0.2">
      <c r="A449" s="24">
        <v>310</v>
      </c>
      <c r="B449" s="24" t="s">
        <v>2143</v>
      </c>
      <c r="C449" s="24">
        <v>15</v>
      </c>
    </row>
    <row r="450" spans="1:3" hidden="1" x14ac:dyDescent="0.2">
      <c r="A450" s="24">
        <v>311</v>
      </c>
      <c r="B450" s="24" t="s">
        <v>755</v>
      </c>
      <c r="C450" s="24">
        <v>2</v>
      </c>
    </row>
    <row r="451" spans="1:3" hidden="1" x14ac:dyDescent="0.2">
      <c r="A451" s="24">
        <v>312</v>
      </c>
      <c r="B451" s="24" t="s">
        <v>742</v>
      </c>
      <c r="C451" s="24">
        <v>14</v>
      </c>
    </row>
    <row r="452" spans="1:3" hidden="1" x14ac:dyDescent="0.2">
      <c r="A452" s="24">
        <v>313</v>
      </c>
      <c r="B452" s="24" t="s">
        <v>745</v>
      </c>
      <c r="C452" s="24">
        <v>9</v>
      </c>
    </row>
    <row r="453" spans="1:3" hidden="1" x14ac:dyDescent="0.2">
      <c r="A453" s="24">
        <v>314</v>
      </c>
      <c r="B453" s="24" t="s">
        <v>1773</v>
      </c>
      <c r="C453" s="24">
        <v>17</v>
      </c>
    </row>
    <row r="454" spans="1:3" hidden="1" x14ac:dyDescent="0.2">
      <c r="A454" s="24">
        <v>315</v>
      </c>
      <c r="B454" s="24" t="s">
        <v>1601</v>
      </c>
      <c r="C454" s="24">
        <v>4</v>
      </c>
    </row>
    <row r="455" spans="1:3" hidden="1" x14ac:dyDescent="0.2">
      <c r="A455" s="24">
        <v>316</v>
      </c>
      <c r="B455" s="24" t="s">
        <v>714</v>
      </c>
      <c r="C455" s="24">
        <v>13</v>
      </c>
    </row>
    <row r="456" spans="1:3" hidden="1" x14ac:dyDescent="0.2">
      <c r="A456" s="24">
        <v>317</v>
      </c>
      <c r="B456" s="24" t="s">
        <v>717</v>
      </c>
      <c r="C456" s="24">
        <v>13</v>
      </c>
    </row>
    <row r="457" spans="1:3" hidden="1" x14ac:dyDescent="0.2">
      <c r="A457" s="24">
        <v>318</v>
      </c>
      <c r="B457" s="24" t="s">
        <v>968</v>
      </c>
      <c r="C457" s="24">
        <v>11</v>
      </c>
    </row>
    <row r="458" spans="1:3" hidden="1" x14ac:dyDescent="0.2">
      <c r="A458" s="24">
        <v>320</v>
      </c>
      <c r="B458" s="24" t="s">
        <v>971</v>
      </c>
      <c r="C458" s="24">
        <v>13</v>
      </c>
    </row>
    <row r="459" spans="1:3" hidden="1" x14ac:dyDescent="0.2">
      <c r="A459" s="24">
        <v>321</v>
      </c>
      <c r="B459" s="24" t="s">
        <v>2318</v>
      </c>
      <c r="C459" s="24">
        <v>18</v>
      </c>
    </row>
    <row r="460" spans="1:3" hidden="1" x14ac:dyDescent="0.2">
      <c r="A460" s="24">
        <v>323</v>
      </c>
      <c r="B460" s="24" t="s">
        <v>2321</v>
      </c>
      <c r="C460" s="24">
        <v>9</v>
      </c>
    </row>
    <row r="461" spans="1:3" hidden="1" x14ac:dyDescent="0.2">
      <c r="A461" s="24">
        <v>324</v>
      </c>
      <c r="B461" s="24" t="s">
        <v>2751</v>
      </c>
      <c r="C461" s="24">
        <v>6</v>
      </c>
    </row>
    <row r="462" spans="1:3" hidden="1" x14ac:dyDescent="0.2">
      <c r="A462" s="24">
        <v>325</v>
      </c>
      <c r="B462" s="24" t="s">
        <v>2407</v>
      </c>
      <c r="C462" s="24">
        <v>14</v>
      </c>
    </row>
    <row r="463" spans="1:3" hidden="1" x14ac:dyDescent="0.2">
      <c r="A463" s="24">
        <v>326</v>
      </c>
      <c r="B463" s="24" t="s">
        <v>2410</v>
      </c>
      <c r="C463" s="24">
        <v>5</v>
      </c>
    </row>
    <row r="464" spans="1:3" hidden="1" x14ac:dyDescent="0.2">
      <c r="A464" s="24">
        <v>327</v>
      </c>
      <c r="B464" s="24" t="s">
        <v>2413</v>
      </c>
      <c r="C464" s="24">
        <v>14</v>
      </c>
    </row>
    <row r="465" spans="1:3" hidden="1" x14ac:dyDescent="0.2">
      <c r="A465" s="24">
        <v>328</v>
      </c>
      <c r="B465" s="24" t="s">
        <v>74</v>
      </c>
      <c r="C465" s="24">
        <v>3</v>
      </c>
    </row>
    <row r="466" spans="1:3" hidden="1" x14ac:dyDescent="0.2">
      <c r="A466" s="24">
        <v>329</v>
      </c>
      <c r="B466" s="24" t="s">
        <v>214</v>
      </c>
      <c r="C466" s="24">
        <v>2</v>
      </c>
    </row>
    <row r="467" spans="1:3" hidden="1" x14ac:dyDescent="0.2">
      <c r="A467" s="24">
        <v>330</v>
      </c>
      <c r="B467" s="24" t="s">
        <v>217</v>
      </c>
      <c r="C467" s="24">
        <v>18</v>
      </c>
    </row>
    <row r="468" spans="1:3" hidden="1" x14ac:dyDescent="0.2">
      <c r="A468" s="24">
        <v>331</v>
      </c>
      <c r="B468" s="24" t="s">
        <v>2459</v>
      </c>
      <c r="C468" s="24">
        <v>1</v>
      </c>
    </row>
    <row r="469" spans="1:3" hidden="1" x14ac:dyDescent="0.2">
      <c r="A469" s="24">
        <v>332</v>
      </c>
      <c r="B469" s="24" t="s">
        <v>2462</v>
      </c>
      <c r="C469" s="24">
        <v>10</v>
      </c>
    </row>
    <row r="470" spans="1:3" hidden="1" x14ac:dyDescent="0.2">
      <c r="A470" s="24">
        <v>333</v>
      </c>
      <c r="B470" s="24" t="s">
        <v>2465</v>
      </c>
      <c r="C470" s="24">
        <v>4</v>
      </c>
    </row>
    <row r="471" spans="1:3" hidden="1" x14ac:dyDescent="0.2">
      <c r="A471" s="24">
        <v>334</v>
      </c>
      <c r="B471" s="24" t="s">
        <v>2468</v>
      </c>
      <c r="C471" s="24">
        <v>11</v>
      </c>
    </row>
    <row r="472" spans="1:3" hidden="1" x14ac:dyDescent="0.2">
      <c r="A472" s="24">
        <v>335</v>
      </c>
      <c r="B472" s="24" t="s">
        <v>2474</v>
      </c>
      <c r="C472" s="24">
        <v>19</v>
      </c>
    </row>
    <row r="473" spans="1:3" hidden="1" x14ac:dyDescent="0.2">
      <c r="A473" s="24">
        <v>337</v>
      </c>
      <c r="B473" s="24" t="s">
        <v>2477</v>
      </c>
      <c r="C473" s="24">
        <v>17</v>
      </c>
    </row>
    <row r="474" spans="1:3" hidden="1" x14ac:dyDescent="0.2">
      <c r="A474" s="24">
        <v>338</v>
      </c>
      <c r="B474" s="24" t="s">
        <v>2480</v>
      </c>
      <c r="C474" s="24">
        <v>12</v>
      </c>
    </row>
    <row r="475" spans="1:3" hidden="1" x14ac:dyDescent="0.2">
      <c r="A475" s="24">
        <v>339</v>
      </c>
      <c r="B475" s="24" t="s">
        <v>2483</v>
      </c>
      <c r="C475" s="24">
        <v>17</v>
      </c>
    </row>
    <row r="476" spans="1:3" hidden="1" x14ac:dyDescent="0.2">
      <c r="A476" s="24">
        <v>340</v>
      </c>
      <c r="B476" s="24" t="s">
        <v>2836</v>
      </c>
      <c r="C476" s="24">
        <v>14</v>
      </c>
    </row>
    <row r="477" spans="1:3" hidden="1" x14ac:dyDescent="0.2">
      <c r="A477" s="24">
        <v>341</v>
      </c>
      <c r="B477" s="24" t="s">
        <v>2845</v>
      </c>
      <c r="C477" s="24">
        <v>17</v>
      </c>
    </row>
    <row r="478" spans="1:3" hidden="1" x14ac:dyDescent="0.2">
      <c r="A478" s="24">
        <v>342</v>
      </c>
      <c r="B478" s="24" t="s">
        <v>2848</v>
      </c>
      <c r="C478" s="24">
        <v>20</v>
      </c>
    </row>
    <row r="479" spans="1:3" hidden="1" x14ac:dyDescent="0.2">
      <c r="A479" s="24">
        <v>343</v>
      </c>
      <c r="B479" s="24" t="s">
        <v>2851</v>
      </c>
      <c r="C479" s="24">
        <v>19</v>
      </c>
    </row>
    <row r="480" spans="1:3" hidden="1" x14ac:dyDescent="0.2">
      <c r="A480" s="24">
        <v>344</v>
      </c>
      <c r="B480" s="24" t="s">
        <v>2857</v>
      </c>
      <c r="C480" s="24">
        <v>13</v>
      </c>
    </row>
    <row r="481" spans="1:3" hidden="1" x14ac:dyDescent="0.2">
      <c r="A481" s="24">
        <v>345</v>
      </c>
      <c r="B481" s="24" t="s">
        <v>2860</v>
      </c>
      <c r="C481" s="24">
        <v>13</v>
      </c>
    </row>
    <row r="482" spans="1:3" hidden="1" x14ac:dyDescent="0.2">
      <c r="A482" s="24">
        <v>346</v>
      </c>
      <c r="B482" s="24" t="s">
        <v>2863</v>
      </c>
      <c r="C482" s="24">
        <v>14</v>
      </c>
    </row>
    <row r="483" spans="1:3" hidden="1" x14ac:dyDescent="0.2">
      <c r="A483" s="24">
        <v>347</v>
      </c>
      <c r="B483" s="24" t="s">
        <v>2866</v>
      </c>
      <c r="C483" s="24">
        <v>3</v>
      </c>
    </row>
    <row r="484" spans="1:3" hidden="1" x14ac:dyDescent="0.2">
      <c r="A484" s="24">
        <v>348</v>
      </c>
      <c r="B484" s="24" t="s">
        <v>2869</v>
      </c>
      <c r="C484" s="24">
        <v>18</v>
      </c>
    </row>
    <row r="485" spans="1:3" hidden="1" x14ac:dyDescent="0.2">
      <c r="A485" s="24">
        <v>349</v>
      </c>
      <c r="B485" s="24" t="s">
        <v>2872</v>
      </c>
      <c r="C485" s="24">
        <v>13</v>
      </c>
    </row>
    <row r="486" spans="1:3" hidden="1" x14ac:dyDescent="0.2">
      <c r="A486" s="24">
        <v>350</v>
      </c>
      <c r="B486" s="24" t="s">
        <v>2875</v>
      </c>
      <c r="C486" s="24">
        <v>17</v>
      </c>
    </row>
    <row r="487" spans="1:3" hidden="1" x14ac:dyDescent="0.2">
      <c r="A487" s="24">
        <v>351</v>
      </c>
      <c r="B487" s="24" t="s">
        <v>2881</v>
      </c>
      <c r="C487" s="24">
        <v>11</v>
      </c>
    </row>
    <row r="488" spans="1:3" hidden="1" x14ac:dyDescent="0.2">
      <c r="A488" s="24">
        <v>352</v>
      </c>
      <c r="B488" s="24" t="s">
        <v>2304</v>
      </c>
      <c r="C488" s="24">
        <v>2</v>
      </c>
    </row>
    <row r="489" spans="1:3" hidden="1" x14ac:dyDescent="0.2">
      <c r="A489" s="24">
        <v>354</v>
      </c>
      <c r="B489" s="24" t="s">
        <v>2307</v>
      </c>
      <c r="C489" s="24">
        <v>13</v>
      </c>
    </row>
    <row r="490" spans="1:3" hidden="1" x14ac:dyDescent="0.2">
      <c r="A490" s="24">
        <v>355</v>
      </c>
      <c r="B490" s="24" t="s">
        <v>2310</v>
      </c>
      <c r="C490" s="24">
        <v>20</v>
      </c>
    </row>
    <row r="491" spans="1:3" hidden="1" x14ac:dyDescent="0.2">
      <c r="A491" s="24">
        <v>356</v>
      </c>
      <c r="B491" s="24" t="s">
        <v>790</v>
      </c>
      <c r="C491" s="24">
        <v>1</v>
      </c>
    </row>
    <row r="492" spans="1:3" hidden="1" x14ac:dyDescent="0.2">
      <c r="A492" s="24">
        <v>357</v>
      </c>
      <c r="B492" s="24" t="s">
        <v>1879</v>
      </c>
      <c r="C492" s="24">
        <v>15</v>
      </c>
    </row>
    <row r="493" spans="1:3" hidden="1" x14ac:dyDescent="0.2">
      <c r="A493" s="24">
        <v>358</v>
      </c>
      <c r="B493" s="24" t="s">
        <v>2078</v>
      </c>
      <c r="C493" s="24">
        <v>17</v>
      </c>
    </row>
    <row r="494" spans="1:3" hidden="1" x14ac:dyDescent="0.2">
      <c r="A494" s="24">
        <v>359</v>
      </c>
      <c r="B494" s="24" t="s">
        <v>2081</v>
      </c>
      <c r="C494" s="24">
        <v>18</v>
      </c>
    </row>
    <row r="495" spans="1:3" hidden="1" x14ac:dyDescent="0.2">
      <c r="A495" s="24">
        <v>360</v>
      </c>
      <c r="B495" s="24" t="s">
        <v>218</v>
      </c>
      <c r="C495" s="24">
        <v>8</v>
      </c>
    </row>
    <row r="496" spans="1:3" hidden="1" x14ac:dyDescent="0.2">
      <c r="A496" s="24">
        <v>361</v>
      </c>
      <c r="B496" s="24" t="s">
        <v>221</v>
      </c>
      <c r="C496" s="24">
        <v>14</v>
      </c>
    </row>
    <row r="497" spans="1:3" hidden="1" x14ac:dyDescent="0.2">
      <c r="A497" s="24">
        <v>362</v>
      </c>
      <c r="B497" s="24" t="s">
        <v>224</v>
      </c>
      <c r="C497" s="24">
        <v>1</v>
      </c>
    </row>
    <row r="498" spans="1:3" hidden="1" x14ac:dyDescent="0.2">
      <c r="A498" s="24">
        <v>363</v>
      </c>
      <c r="B498" s="24" t="s">
        <v>227</v>
      </c>
      <c r="C498" s="24">
        <v>8</v>
      </c>
    </row>
    <row r="499" spans="1:3" hidden="1" x14ac:dyDescent="0.2">
      <c r="A499" s="24">
        <v>364</v>
      </c>
      <c r="B499" s="24" t="s">
        <v>230</v>
      </c>
      <c r="C499" s="24">
        <v>2</v>
      </c>
    </row>
    <row r="500" spans="1:3" hidden="1" x14ac:dyDescent="0.2">
      <c r="A500" s="24">
        <v>365</v>
      </c>
      <c r="B500" s="24" t="s">
        <v>236</v>
      </c>
      <c r="C500" s="24">
        <v>4</v>
      </c>
    </row>
    <row r="501" spans="1:3" hidden="1" x14ac:dyDescent="0.2">
      <c r="A501" s="24">
        <v>366</v>
      </c>
      <c r="B501" s="24" t="s">
        <v>239</v>
      </c>
      <c r="C501" s="24">
        <v>6</v>
      </c>
    </row>
    <row r="502" spans="1:3" hidden="1" x14ac:dyDescent="0.2">
      <c r="A502" s="24">
        <v>368</v>
      </c>
      <c r="B502" s="24" t="s">
        <v>242</v>
      </c>
      <c r="C502" s="24">
        <v>18</v>
      </c>
    </row>
    <row r="503" spans="1:3" hidden="1" x14ac:dyDescent="0.2">
      <c r="A503" s="24">
        <v>369</v>
      </c>
      <c r="B503" s="24" t="s">
        <v>1885</v>
      </c>
      <c r="C503" s="24">
        <v>8</v>
      </c>
    </row>
    <row r="504" spans="1:3" hidden="1" x14ac:dyDescent="0.2">
      <c r="A504" s="24">
        <v>371</v>
      </c>
      <c r="B504" s="24" t="s">
        <v>185</v>
      </c>
      <c r="C504" s="24">
        <v>13</v>
      </c>
    </row>
    <row r="505" spans="1:3" hidden="1" x14ac:dyDescent="0.2">
      <c r="A505" s="24">
        <v>372</v>
      </c>
      <c r="B505" s="24" t="s">
        <v>798</v>
      </c>
      <c r="C505" s="24">
        <v>12</v>
      </c>
    </row>
    <row r="506" spans="1:3" hidden="1" x14ac:dyDescent="0.2">
      <c r="A506" s="24">
        <v>373</v>
      </c>
      <c r="B506" s="24" t="s">
        <v>804</v>
      </c>
      <c r="C506" s="24">
        <v>8</v>
      </c>
    </row>
    <row r="507" spans="1:3" hidden="1" x14ac:dyDescent="0.2">
      <c r="A507" s="24">
        <v>374</v>
      </c>
      <c r="B507" s="24" t="s">
        <v>810</v>
      </c>
      <c r="C507" s="24">
        <v>18</v>
      </c>
    </row>
    <row r="508" spans="1:3" hidden="1" x14ac:dyDescent="0.2">
      <c r="A508" s="24">
        <v>375</v>
      </c>
      <c r="B508" s="24" t="s">
        <v>813</v>
      </c>
      <c r="C508" s="24">
        <v>7</v>
      </c>
    </row>
    <row r="509" spans="1:3" hidden="1" x14ac:dyDescent="0.2">
      <c r="A509" s="24">
        <v>376</v>
      </c>
      <c r="B509" s="24" t="s">
        <v>816</v>
      </c>
      <c r="C509" s="24">
        <v>1</v>
      </c>
    </row>
    <row r="510" spans="1:3" hidden="1" x14ac:dyDescent="0.2">
      <c r="A510" s="24">
        <v>377</v>
      </c>
      <c r="B510" s="24" t="s">
        <v>2145</v>
      </c>
      <c r="C510" s="24">
        <v>15</v>
      </c>
    </row>
    <row r="511" spans="1:3" hidden="1" x14ac:dyDescent="0.2">
      <c r="A511" s="24">
        <v>378</v>
      </c>
      <c r="B511" s="24" t="s">
        <v>2148</v>
      </c>
      <c r="C511" s="24">
        <v>4</v>
      </c>
    </row>
    <row r="512" spans="1:3" hidden="1" x14ac:dyDescent="0.2">
      <c r="A512" s="24">
        <v>379</v>
      </c>
      <c r="B512" s="24" t="s">
        <v>2151</v>
      </c>
      <c r="C512" s="24">
        <v>13</v>
      </c>
    </row>
    <row r="513" spans="1:3" hidden="1" x14ac:dyDescent="0.2">
      <c r="A513" s="24">
        <v>380</v>
      </c>
      <c r="B513" s="24" t="s">
        <v>2154</v>
      </c>
      <c r="C513" s="24">
        <v>1</v>
      </c>
    </row>
    <row r="514" spans="1:3" hidden="1" x14ac:dyDescent="0.2">
      <c r="A514" s="24">
        <v>381</v>
      </c>
      <c r="B514" s="24" t="s">
        <v>2157</v>
      </c>
      <c r="C514" s="24">
        <v>14</v>
      </c>
    </row>
    <row r="515" spans="1:3" hidden="1" x14ac:dyDescent="0.2">
      <c r="A515" s="24">
        <v>382</v>
      </c>
      <c r="B515" s="24" t="s">
        <v>2160</v>
      </c>
      <c r="C515" s="24">
        <v>17</v>
      </c>
    </row>
    <row r="516" spans="1:3" hidden="1" x14ac:dyDescent="0.2">
      <c r="A516" s="24">
        <v>383</v>
      </c>
      <c r="B516" s="24" t="s">
        <v>1751</v>
      </c>
      <c r="C516" s="24">
        <v>17</v>
      </c>
    </row>
    <row r="517" spans="1:3" hidden="1" x14ac:dyDescent="0.2">
      <c r="A517" s="24">
        <v>385</v>
      </c>
      <c r="B517" s="24" t="s">
        <v>1908</v>
      </c>
      <c r="C517" s="24">
        <v>20</v>
      </c>
    </row>
    <row r="518" spans="1:3" hidden="1" x14ac:dyDescent="0.2">
      <c r="A518" s="24">
        <v>386</v>
      </c>
      <c r="B518" s="24" t="s">
        <v>1911</v>
      </c>
      <c r="C518" s="24">
        <v>14</v>
      </c>
    </row>
    <row r="519" spans="1:3" hidden="1" x14ac:dyDescent="0.2">
      <c r="A519" s="24">
        <v>387</v>
      </c>
      <c r="B519" s="24" t="s">
        <v>1914</v>
      </c>
      <c r="C519" s="24">
        <v>9</v>
      </c>
    </row>
    <row r="520" spans="1:3" hidden="1" x14ac:dyDescent="0.2">
      <c r="A520" s="24">
        <v>388</v>
      </c>
      <c r="B520" s="24" t="s">
        <v>1920</v>
      </c>
      <c r="C520" s="24">
        <v>12</v>
      </c>
    </row>
    <row r="521" spans="1:3" hidden="1" x14ac:dyDescent="0.2">
      <c r="A521" s="24">
        <v>389</v>
      </c>
      <c r="B521" s="24" t="s">
        <v>1926</v>
      </c>
      <c r="C521" s="24">
        <v>17</v>
      </c>
    </row>
    <row r="522" spans="1:3" hidden="1" x14ac:dyDescent="0.2">
      <c r="A522" s="24">
        <v>390</v>
      </c>
      <c r="B522" s="24" t="s">
        <v>1929</v>
      </c>
      <c r="C522" s="24">
        <v>7</v>
      </c>
    </row>
    <row r="523" spans="1:3" hidden="1" x14ac:dyDescent="0.2">
      <c r="A523" s="24">
        <v>391</v>
      </c>
      <c r="B523" s="24" t="s">
        <v>1932</v>
      </c>
      <c r="C523" s="24">
        <v>3</v>
      </c>
    </row>
    <row r="524" spans="1:3" hidden="1" x14ac:dyDescent="0.2">
      <c r="A524" s="24">
        <v>393</v>
      </c>
      <c r="B524" s="24" t="s">
        <v>1935</v>
      </c>
      <c r="C524" s="24">
        <v>8</v>
      </c>
    </row>
    <row r="525" spans="1:3" hidden="1" x14ac:dyDescent="0.2">
      <c r="A525" s="24">
        <v>394</v>
      </c>
      <c r="B525" s="24" t="s">
        <v>1938</v>
      </c>
      <c r="C525" s="24">
        <v>15</v>
      </c>
    </row>
    <row r="526" spans="1:3" hidden="1" x14ac:dyDescent="0.2">
      <c r="A526" s="24">
        <v>395</v>
      </c>
      <c r="B526" s="24" t="s">
        <v>1941</v>
      </c>
      <c r="C526" s="24">
        <v>10</v>
      </c>
    </row>
    <row r="527" spans="1:3" hidden="1" x14ac:dyDescent="0.2">
      <c r="A527" s="24">
        <v>396</v>
      </c>
      <c r="B527" s="24" t="s">
        <v>2121</v>
      </c>
      <c r="C527" s="24">
        <v>12</v>
      </c>
    </row>
    <row r="528" spans="1:3" hidden="1" x14ac:dyDescent="0.2">
      <c r="A528" s="24">
        <v>397</v>
      </c>
      <c r="B528" s="24" t="s">
        <v>2124</v>
      </c>
      <c r="C528" s="24">
        <v>12</v>
      </c>
    </row>
    <row r="529" spans="1:3" hidden="1" x14ac:dyDescent="0.2">
      <c r="A529" s="24">
        <v>399</v>
      </c>
      <c r="B529" s="24" t="s">
        <v>2127</v>
      </c>
      <c r="C529" s="24">
        <v>19</v>
      </c>
    </row>
    <row r="530" spans="1:3" hidden="1" x14ac:dyDescent="0.2">
      <c r="A530" s="24">
        <v>400</v>
      </c>
      <c r="B530" s="24" t="s">
        <v>127</v>
      </c>
      <c r="C530" s="24">
        <v>4</v>
      </c>
    </row>
    <row r="531" spans="1:3" hidden="1" x14ac:dyDescent="0.2">
      <c r="A531" s="24">
        <v>402</v>
      </c>
      <c r="B531" s="24" t="s">
        <v>2777</v>
      </c>
      <c r="C531" s="24">
        <v>19</v>
      </c>
    </row>
    <row r="532" spans="1:3" hidden="1" x14ac:dyDescent="0.2">
      <c r="A532" s="24">
        <v>405</v>
      </c>
      <c r="B532" s="24" t="s">
        <v>1374</v>
      </c>
      <c r="C532" s="24">
        <v>6</v>
      </c>
    </row>
    <row r="533" spans="1:3" hidden="1" x14ac:dyDescent="0.2">
      <c r="A533" s="24">
        <v>406</v>
      </c>
      <c r="B533" s="24" t="s">
        <v>1377</v>
      </c>
      <c r="C533" s="24">
        <v>17</v>
      </c>
    </row>
    <row r="534" spans="1:3" hidden="1" x14ac:dyDescent="0.2">
      <c r="A534" s="24">
        <v>407</v>
      </c>
      <c r="B534" s="24" t="s">
        <v>1380</v>
      </c>
      <c r="C534" s="24">
        <v>10</v>
      </c>
    </row>
    <row r="535" spans="1:3" hidden="1" x14ac:dyDescent="0.2">
      <c r="A535" s="24">
        <v>409</v>
      </c>
      <c r="B535" s="24" t="s">
        <v>1383</v>
      </c>
      <c r="C535" s="24">
        <v>17</v>
      </c>
    </row>
    <row r="536" spans="1:3" hidden="1" x14ac:dyDescent="0.2">
      <c r="A536" s="24">
        <v>410</v>
      </c>
      <c r="B536" s="24" t="s">
        <v>1386</v>
      </c>
      <c r="C536" s="24">
        <v>5</v>
      </c>
    </row>
    <row r="537" spans="1:3" hidden="1" x14ac:dyDescent="0.2">
      <c r="A537" s="24">
        <v>411</v>
      </c>
      <c r="B537" s="24" t="s">
        <v>1389</v>
      </c>
      <c r="C537" s="24">
        <v>13</v>
      </c>
    </row>
    <row r="538" spans="1:3" hidden="1" x14ac:dyDescent="0.2">
      <c r="A538" s="24">
        <v>412</v>
      </c>
      <c r="B538" s="24" t="s">
        <v>1392</v>
      </c>
      <c r="C538" s="24">
        <v>12</v>
      </c>
    </row>
    <row r="539" spans="1:3" hidden="1" x14ac:dyDescent="0.2">
      <c r="A539" s="24">
        <v>413</v>
      </c>
      <c r="B539" s="24" t="s">
        <v>1395</v>
      </c>
      <c r="C539" s="24">
        <v>17</v>
      </c>
    </row>
    <row r="540" spans="1:3" hidden="1" x14ac:dyDescent="0.2">
      <c r="A540" s="24">
        <v>414</v>
      </c>
      <c r="B540" s="24" t="s">
        <v>1398</v>
      </c>
      <c r="C540" s="24">
        <v>16</v>
      </c>
    </row>
    <row r="541" spans="1:3" hidden="1" x14ac:dyDescent="0.2">
      <c r="A541" s="24">
        <v>415</v>
      </c>
      <c r="B541" s="24" t="s">
        <v>316</v>
      </c>
      <c r="C541" s="24">
        <v>16</v>
      </c>
    </row>
    <row r="542" spans="1:3" hidden="1" x14ac:dyDescent="0.2">
      <c r="A542" s="24">
        <v>416</v>
      </c>
      <c r="B542" s="24" t="s">
        <v>1333</v>
      </c>
      <c r="C542" s="24">
        <v>13</v>
      </c>
    </row>
    <row r="543" spans="1:3" hidden="1" x14ac:dyDescent="0.2">
      <c r="A543" s="24">
        <v>418</v>
      </c>
      <c r="B543" s="24" t="s">
        <v>1336</v>
      </c>
      <c r="C543" s="24">
        <v>12</v>
      </c>
    </row>
    <row r="544" spans="1:3" hidden="1" x14ac:dyDescent="0.2">
      <c r="A544" s="24">
        <v>419</v>
      </c>
      <c r="B544" s="24" t="s">
        <v>1339</v>
      </c>
      <c r="C544" s="24">
        <v>19</v>
      </c>
    </row>
    <row r="545" spans="1:3" hidden="1" x14ac:dyDescent="0.2">
      <c r="A545" s="24">
        <v>421</v>
      </c>
      <c r="B545" s="24" t="s">
        <v>1345</v>
      </c>
      <c r="C545" s="24">
        <v>14</v>
      </c>
    </row>
    <row r="546" spans="1:3" hidden="1" x14ac:dyDescent="0.2">
      <c r="A546" s="24">
        <v>422</v>
      </c>
      <c r="B546" s="24" t="s">
        <v>1348</v>
      </c>
      <c r="C546" s="24">
        <v>2</v>
      </c>
    </row>
    <row r="547" spans="1:3" hidden="1" x14ac:dyDescent="0.2">
      <c r="A547" s="24">
        <v>423</v>
      </c>
      <c r="B547" s="24" t="s">
        <v>1354</v>
      </c>
      <c r="C547" s="24">
        <v>17</v>
      </c>
    </row>
    <row r="548" spans="1:3" hidden="1" x14ac:dyDescent="0.2">
      <c r="A548" s="24">
        <v>424</v>
      </c>
      <c r="B548" s="24" t="s">
        <v>1357</v>
      </c>
      <c r="C548" s="24">
        <v>10</v>
      </c>
    </row>
    <row r="549" spans="1:3" hidden="1" x14ac:dyDescent="0.2">
      <c r="A549" s="24">
        <v>425</v>
      </c>
      <c r="B549" s="24" t="s">
        <v>1360</v>
      </c>
      <c r="C549" s="24">
        <v>13</v>
      </c>
    </row>
    <row r="550" spans="1:3" hidden="1" x14ac:dyDescent="0.2">
      <c r="A550" s="24">
        <v>426</v>
      </c>
      <c r="B550" s="24" t="s">
        <v>1363</v>
      </c>
      <c r="C550" s="24">
        <v>3</v>
      </c>
    </row>
    <row r="551" spans="1:3" hidden="1" x14ac:dyDescent="0.2">
      <c r="A551" s="24">
        <v>427</v>
      </c>
      <c r="B551" s="24" t="s">
        <v>1366</v>
      </c>
      <c r="C551" s="24">
        <v>17</v>
      </c>
    </row>
    <row r="552" spans="1:3" hidden="1" x14ac:dyDescent="0.2">
      <c r="A552" s="24">
        <v>428</v>
      </c>
      <c r="B552" s="24" t="s">
        <v>581</v>
      </c>
      <c r="C552" s="24">
        <v>13</v>
      </c>
    </row>
    <row r="553" spans="1:3" hidden="1" x14ac:dyDescent="0.2">
      <c r="A553" s="24">
        <v>429</v>
      </c>
      <c r="B553" s="24" t="s">
        <v>587</v>
      </c>
      <c r="C553" s="24">
        <v>1</v>
      </c>
    </row>
    <row r="554" spans="1:3" hidden="1" x14ac:dyDescent="0.2">
      <c r="A554" s="24">
        <v>430</v>
      </c>
      <c r="B554" s="24" t="s">
        <v>2678</v>
      </c>
      <c r="C554" s="24">
        <v>2</v>
      </c>
    </row>
    <row r="555" spans="1:3" hidden="1" x14ac:dyDescent="0.2">
      <c r="A555" s="24">
        <v>431</v>
      </c>
      <c r="B555" s="24" t="s">
        <v>2681</v>
      </c>
      <c r="C555" s="24">
        <v>18</v>
      </c>
    </row>
    <row r="556" spans="1:3" hidden="1" x14ac:dyDescent="0.2">
      <c r="A556" s="24">
        <v>432</v>
      </c>
      <c r="B556" s="24" t="s">
        <v>2794</v>
      </c>
      <c r="C556" s="24">
        <v>18</v>
      </c>
    </row>
    <row r="557" spans="1:3" hidden="1" x14ac:dyDescent="0.2">
      <c r="A557" s="24">
        <v>433</v>
      </c>
      <c r="B557" s="24" t="s">
        <v>2684</v>
      </c>
      <c r="C557" s="24">
        <v>18</v>
      </c>
    </row>
    <row r="558" spans="1:3" hidden="1" x14ac:dyDescent="0.2">
      <c r="A558" s="24">
        <v>435</v>
      </c>
      <c r="B558" s="24" t="s">
        <v>2686</v>
      </c>
      <c r="C558" s="24">
        <v>18</v>
      </c>
    </row>
    <row r="559" spans="1:3" hidden="1" x14ac:dyDescent="0.2">
      <c r="A559" s="24">
        <v>436</v>
      </c>
      <c r="B559" s="24" t="s">
        <v>2793</v>
      </c>
      <c r="C559" s="24">
        <v>1</v>
      </c>
    </row>
    <row r="560" spans="1:3" hidden="1" x14ac:dyDescent="0.2">
      <c r="A560" s="24">
        <v>437</v>
      </c>
      <c r="B560" s="24" t="s">
        <v>578</v>
      </c>
      <c r="C560" s="24">
        <v>5</v>
      </c>
    </row>
    <row r="561" spans="1:3" hidden="1" x14ac:dyDescent="0.2">
      <c r="A561" s="24">
        <v>438</v>
      </c>
      <c r="B561" s="24" t="s">
        <v>584</v>
      </c>
      <c r="C561" s="24">
        <v>5</v>
      </c>
    </row>
    <row r="562" spans="1:3" hidden="1" x14ac:dyDescent="0.2">
      <c r="A562" s="24">
        <v>439</v>
      </c>
      <c r="B562" s="24" t="s">
        <v>726</v>
      </c>
      <c r="C562" s="24">
        <v>6</v>
      </c>
    </row>
    <row r="563" spans="1:3" hidden="1" x14ac:dyDescent="0.2">
      <c r="A563" s="24">
        <v>440</v>
      </c>
      <c r="B563" s="24" t="s">
        <v>729</v>
      </c>
      <c r="C563" s="24">
        <v>20</v>
      </c>
    </row>
    <row r="564" spans="1:3" hidden="1" x14ac:dyDescent="0.2">
      <c r="A564" s="24">
        <v>441</v>
      </c>
      <c r="B564" s="24" t="s">
        <v>1903</v>
      </c>
      <c r="C564" s="24">
        <v>20</v>
      </c>
    </row>
    <row r="565" spans="1:3" hidden="1" x14ac:dyDescent="0.2">
      <c r="A565" s="24">
        <v>442</v>
      </c>
      <c r="B565" s="24" t="s">
        <v>1906</v>
      </c>
      <c r="C565" s="24">
        <v>6</v>
      </c>
    </row>
    <row r="566" spans="1:3" hidden="1" x14ac:dyDescent="0.2">
      <c r="A566" s="24">
        <v>443</v>
      </c>
      <c r="B566" s="24" t="s">
        <v>416</v>
      </c>
      <c r="C566" s="24">
        <v>17</v>
      </c>
    </row>
    <row r="567" spans="1:3" hidden="1" x14ac:dyDescent="0.2">
      <c r="A567" s="24">
        <v>444</v>
      </c>
      <c r="B567" s="24" t="s">
        <v>419</v>
      </c>
      <c r="C567" s="24">
        <v>15</v>
      </c>
    </row>
    <row r="568" spans="1:3" hidden="1" x14ac:dyDescent="0.2">
      <c r="A568" s="24">
        <v>445</v>
      </c>
      <c r="B568" s="24" t="s">
        <v>2789</v>
      </c>
      <c r="C568" s="24">
        <v>13</v>
      </c>
    </row>
    <row r="569" spans="1:3" hidden="1" x14ac:dyDescent="0.2">
      <c r="A569" s="24">
        <v>447</v>
      </c>
      <c r="B569" s="24" t="s">
        <v>661</v>
      </c>
      <c r="C569" s="24">
        <v>17</v>
      </c>
    </row>
    <row r="570" spans="1:3" hidden="1" x14ac:dyDescent="0.2">
      <c r="A570" s="24">
        <v>449</v>
      </c>
      <c r="B570" s="24" t="s">
        <v>664</v>
      </c>
      <c r="C570" s="24">
        <v>10</v>
      </c>
    </row>
    <row r="571" spans="1:3" hidden="1" x14ac:dyDescent="0.2">
      <c r="A571" s="24">
        <v>450</v>
      </c>
      <c r="B571" s="24" t="s">
        <v>667</v>
      </c>
      <c r="C571" s="24">
        <v>7</v>
      </c>
    </row>
    <row r="572" spans="1:3" hidden="1" x14ac:dyDescent="0.2">
      <c r="A572" s="24">
        <v>452</v>
      </c>
      <c r="B572" s="24" t="s">
        <v>1304</v>
      </c>
      <c r="C572" s="24">
        <v>20</v>
      </c>
    </row>
    <row r="573" spans="1:3" hidden="1" x14ac:dyDescent="0.2">
      <c r="A573" s="24">
        <v>453</v>
      </c>
      <c r="B573" s="24" t="s">
        <v>2203</v>
      </c>
      <c r="C573" s="24">
        <v>18</v>
      </c>
    </row>
    <row r="574" spans="1:3" hidden="1" x14ac:dyDescent="0.2">
      <c r="A574" s="24">
        <v>454</v>
      </c>
      <c r="B574" s="24" t="s">
        <v>637</v>
      </c>
      <c r="C574" s="24">
        <v>15</v>
      </c>
    </row>
    <row r="575" spans="1:3" hidden="1" x14ac:dyDescent="0.2">
      <c r="A575" s="24">
        <v>455</v>
      </c>
      <c r="B575" s="24" t="s">
        <v>2471</v>
      </c>
      <c r="C575" s="24">
        <v>9</v>
      </c>
    </row>
    <row r="576" spans="1:3" hidden="1" x14ac:dyDescent="0.2">
      <c r="A576" s="24">
        <v>456</v>
      </c>
      <c r="B576" s="24" t="s">
        <v>195</v>
      </c>
      <c r="C576" s="24">
        <v>16</v>
      </c>
    </row>
    <row r="577" spans="1:3" hidden="1" x14ac:dyDescent="0.2">
      <c r="A577" s="24">
        <v>457</v>
      </c>
      <c r="B577" s="24" t="s">
        <v>370</v>
      </c>
      <c r="C577" s="24">
        <v>3</v>
      </c>
    </row>
    <row r="578" spans="1:3" hidden="1" x14ac:dyDescent="0.2">
      <c r="A578" s="24">
        <v>458</v>
      </c>
      <c r="B578" s="24" t="s">
        <v>373</v>
      </c>
      <c r="C578" s="24">
        <v>16</v>
      </c>
    </row>
    <row r="579" spans="1:3" hidden="1" x14ac:dyDescent="0.2">
      <c r="A579" s="24">
        <v>459</v>
      </c>
      <c r="B579" s="24" t="s">
        <v>379</v>
      </c>
      <c r="C579" s="24">
        <v>16</v>
      </c>
    </row>
    <row r="580" spans="1:3" hidden="1" x14ac:dyDescent="0.2">
      <c r="A580" s="24">
        <v>460</v>
      </c>
      <c r="B580" s="24" t="s">
        <v>385</v>
      </c>
      <c r="C580" s="24">
        <v>17</v>
      </c>
    </row>
    <row r="581" spans="1:3" hidden="1" x14ac:dyDescent="0.2">
      <c r="A581" s="24">
        <v>461</v>
      </c>
      <c r="B581" s="24" t="s">
        <v>713</v>
      </c>
      <c r="C581" s="24">
        <v>14</v>
      </c>
    </row>
    <row r="582" spans="1:3" hidden="1" x14ac:dyDescent="0.2">
      <c r="A582" s="24">
        <v>462</v>
      </c>
      <c r="B582" s="24" t="s">
        <v>1685</v>
      </c>
      <c r="C582" s="24">
        <v>5</v>
      </c>
    </row>
    <row r="583" spans="1:3" hidden="1" x14ac:dyDescent="0.2">
      <c r="A583" s="24">
        <v>463</v>
      </c>
      <c r="B583" s="24" t="s">
        <v>1688</v>
      </c>
      <c r="C583" s="24">
        <v>17</v>
      </c>
    </row>
    <row r="584" spans="1:3" hidden="1" x14ac:dyDescent="0.2">
      <c r="A584" s="24">
        <v>464</v>
      </c>
      <c r="B584" s="24" t="s">
        <v>11</v>
      </c>
      <c r="C584" s="24">
        <v>16</v>
      </c>
    </row>
    <row r="585" spans="1:3" hidden="1" x14ac:dyDescent="0.2">
      <c r="A585" s="24">
        <v>466</v>
      </c>
      <c r="B585" s="24" t="s">
        <v>1840</v>
      </c>
      <c r="C585" s="24">
        <v>2</v>
      </c>
    </row>
    <row r="586" spans="1:3" hidden="1" x14ac:dyDescent="0.2">
      <c r="A586" s="24">
        <v>467</v>
      </c>
      <c r="B586" s="24" t="s">
        <v>1843</v>
      </c>
      <c r="C586" s="24">
        <v>9</v>
      </c>
    </row>
    <row r="587" spans="1:3" hidden="1" x14ac:dyDescent="0.2">
      <c r="A587" s="24">
        <v>468</v>
      </c>
      <c r="B587" s="24" t="s">
        <v>1846</v>
      </c>
      <c r="C587" s="24">
        <v>18</v>
      </c>
    </row>
    <row r="588" spans="1:3" hidden="1" x14ac:dyDescent="0.2">
      <c r="A588" s="24">
        <v>469</v>
      </c>
      <c r="B588" s="24" t="s">
        <v>1849</v>
      </c>
      <c r="C588" s="24">
        <v>15</v>
      </c>
    </row>
    <row r="589" spans="1:3" hidden="1" x14ac:dyDescent="0.2">
      <c r="A589" s="24">
        <v>471</v>
      </c>
      <c r="B589" s="24" t="s">
        <v>1852</v>
      </c>
      <c r="C589" s="24">
        <v>14</v>
      </c>
    </row>
    <row r="590" spans="1:3" hidden="1" x14ac:dyDescent="0.2">
      <c r="A590" s="24">
        <v>472</v>
      </c>
      <c r="B590" s="24" t="s">
        <v>1855</v>
      </c>
      <c r="C590" s="24">
        <v>5</v>
      </c>
    </row>
    <row r="591" spans="1:3" hidden="1" x14ac:dyDescent="0.2">
      <c r="A591" s="24">
        <v>473</v>
      </c>
      <c r="B591" s="24" t="s">
        <v>1950</v>
      </c>
      <c r="C591" s="24">
        <v>5</v>
      </c>
    </row>
    <row r="592" spans="1:3" hidden="1" x14ac:dyDescent="0.2">
      <c r="A592" s="24">
        <v>474</v>
      </c>
      <c r="B592" s="24" t="s">
        <v>103</v>
      </c>
      <c r="C592" s="24">
        <v>19</v>
      </c>
    </row>
    <row r="593" spans="1:3" hidden="1" x14ac:dyDescent="0.2">
      <c r="A593" s="24">
        <v>475</v>
      </c>
      <c r="B593" s="24" t="s">
        <v>720</v>
      </c>
      <c r="C593" s="24">
        <v>11</v>
      </c>
    </row>
    <row r="594" spans="1:3" hidden="1" x14ac:dyDescent="0.2">
      <c r="A594" s="24">
        <v>476</v>
      </c>
      <c r="B594" s="24" t="s">
        <v>2206</v>
      </c>
      <c r="C594" s="24">
        <v>12</v>
      </c>
    </row>
    <row r="595" spans="1:3" hidden="1" x14ac:dyDescent="0.2">
      <c r="A595" s="24">
        <v>477</v>
      </c>
      <c r="B595" s="24" t="s">
        <v>2209</v>
      </c>
      <c r="C595" s="24">
        <v>3</v>
      </c>
    </row>
    <row r="596" spans="1:3" hidden="1" x14ac:dyDescent="0.2">
      <c r="A596" s="24">
        <v>478</v>
      </c>
      <c r="B596" s="24" t="s">
        <v>1617</v>
      </c>
      <c r="C596" s="24">
        <v>7</v>
      </c>
    </row>
    <row r="597" spans="1:3" hidden="1" x14ac:dyDescent="0.2">
      <c r="A597" s="24">
        <v>480</v>
      </c>
      <c r="B597" s="24" t="s">
        <v>1626</v>
      </c>
      <c r="C597" s="24">
        <v>7</v>
      </c>
    </row>
    <row r="598" spans="1:3" hidden="1" x14ac:dyDescent="0.2">
      <c r="A598" s="24">
        <v>481</v>
      </c>
      <c r="B598" s="24" t="s">
        <v>1629</v>
      </c>
      <c r="C598" s="24">
        <v>2</v>
      </c>
    </row>
    <row r="599" spans="1:3" hidden="1" x14ac:dyDescent="0.2">
      <c r="A599" s="24">
        <v>483</v>
      </c>
      <c r="B599" s="24" t="s">
        <v>753</v>
      </c>
      <c r="C599" s="24">
        <v>7</v>
      </c>
    </row>
    <row r="600" spans="1:3" hidden="1" x14ac:dyDescent="0.2">
      <c r="A600" s="24">
        <v>484</v>
      </c>
      <c r="B600" s="24" t="s">
        <v>740</v>
      </c>
      <c r="C600" s="24">
        <v>5</v>
      </c>
    </row>
    <row r="601" spans="1:3" hidden="1" x14ac:dyDescent="0.2">
      <c r="A601" s="24">
        <v>485</v>
      </c>
      <c r="B601" s="24" t="s">
        <v>743</v>
      </c>
      <c r="C601" s="24">
        <v>14</v>
      </c>
    </row>
    <row r="602" spans="1:3" hidden="1" x14ac:dyDescent="0.2">
      <c r="A602" s="24">
        <v>486</v>
      </c>
      <c r="B602" s="24" t="s">
        <v>746</v>
      </c>
      <c r="C602" s="24">
        <v>5</v>
      </c>
    </row>
    <row r="603" spans="1:3" hidden="1" x14ac:dyDescent="0.2">
      <c r="A603" s="24">
        <v>487</v>
      </c>
      <c r="B603" s="24" t="s">
        <v>1774</v>
      </c>
      <c r="C603" s="24">
        <v>16</v>
      </c>
    </row>
    <row r="604" spans="1:3" hidden="1" x14ac:dyDescent="0.2">
      <c r="A604" s="24">
        <v>488</v>
      </c>
      <c r="B604" s="24" t="s">
        <v>1599</v>
      </c>
      <c r="C604" s="24">
        <v>8</v>
      </c>
    </row>
    <row r="605" spans="1:3" hidden="1" x14ac:dyDescent="0.2">
      <c r="A605" s="24">
        <v>489</v>
      </c>
      <c r="B605" s="24" t="s">
        <v>1602</v>
      </c>
      <c r="C605" s="24">
        <v>13</v>
      </c>
    </row>
    <row r="606" spans="1:3" hidden="1" x14ac:dyDescent="0.2">
      <c r="A606" s="24">
        <v>490</v>
      </c>
      <c r="B606" s="24" t="s">
        <v>715</v>
      </c>
      <c r="C606" s="24">
        <v>6</v>
      </c>
    </row>
    <row r="607" spans="1:3" hidden="1" x14ac:dyDescent="0.2">
      <c r="A607" s="24">
        <v>491</v>
      </c>
      <c r="B607" s="24" t="s">
        <v>966</v>
      </c>
      <c r="C607" s="24">
        <v>10</v>
      </c>
    </row>
    <row r="608" spans="1:3" hidden="1" x14ac:dyDescent="0.2">
      <c r="A608" s="24">
        <v>492</v>
      </c>
      <c r="B608" s="24" t="s">
        <v>969</v>
      </c>
      <c r="C608" s="24">
        <v>17</v>
      </c>
    </row>
    <row r="609" spans="1:3" hidden="1" x14ac:dyDescent="0.2">
      <c r="A609" s="24">
        <v>493</v>
      </c>
      <c r="B609" s="24" t="s">
        <v>972</v>
      </c>
      <c r="C609" s="24">
        <v>5</v>
      </c>
    </row>
    <row r="610" spans="1:3" hidden="1" x14ac:dyDescent="0.2">
      <c r="A610" s="24">
        <v>494</v>
      </c>
      <c r="B610" s="24" t="s">
        <v>2319</v>
      </c>
      <c r="C610" s="24">
        <v>14</v>
      </c>
    </row>
    <row r="611" spans="1:3" hidden="1" x14ac:dyDescent="0.2">
      <c r="A611" s="24">
        <v>495</v>
      </c>
      <c r="B611" s="24" t="s">
        <v>2322</v>
      </c>
      <c r="C611" s="24">
        <v>8</v>
      </c>
    </row>
    <row r="612" spans="1:3" hidden="1" x14ac:dyDescent="0.2">
      <c r="A612" s="24">
        <v>497</v>
      </c>
      <c r="B612" s="24" t="s">
        <v>2752</v>
      </c>
      <c r="C612" s="24">
        <v>18</v>
      </c>
    </row>
    <row r="613" spans="1:3" hidden="1" x14ac:dyDescent="0.2">
      <c r="A613" s="24">
        <v>498</v>
      </c>
      <c r="B613" s="24" t="s">
        <v>2408</v>
      </c>
      <c r="C613" s="24">
        <v>18</v>
      </c>
    </row>
    <row r="614" spans="1:3" hidden="1" x14ac:dyDescent="0.2">
      <c r="A614" s="24">
        <v>499</v>
      </c>
      <c r="B614" s="24" t="s">
        <v>2414</v>
      </c>
      <c r="C614" s="24">
        <v>10</v>
      </c>
    </row>
    <row r="615" spans="1:3" hidden="1" x14ac:dyDescent="0.2">
      <c r="A615" s="24">
        <v>500</v>
      </c>
      <c r="B615" s="24" t="s">
        <v>75</v>
      </c>
      <c r="C615" s="24">
        <v>15</v>
      </c>
    </row>
    <row r="616" spans="1:3" hidden="1" x14ac:dyDescent="0.2">
      <c r="A616" s="24">
        <v>502</v>
      </c>
      <c r="B616" s="24" t="s">
        <v>215</v>
      </c>
      <c r="C616" s="24">
        <v>18</v>
      </c>
    </row>
    <row r="617" spans="1:3" hidden="1" x14ac:dyDescent="0.2">
      <c r="A617" s="24">
        <v>503</v>
      </c>
      <c r="B617" s="24" t="s">
        <v>2457</v>
      </c>
      <c r="C617" s="24">
        <v>4</v>
      </c>
    </row>
    <row r="618" spans="1:3" hidden="1" x14ac:dyDescent="0.2">
      <c r="A618" s="24">
        <v>504</v>
      </c>
      <c r="B618" s="24" t="s">
        <v>2460</v>
      </c>
      <c r="C618" s="24">
        <v>20</v>
      </c>
    </row>
    <row r="619" spans="1:3" hidden="1" x14ac:dyDescent="0.2">
      <c r="A619" s="24">
        <v>505</v>
      </c>
      <c r="B619" s="24" t="s">
        <v>2463</v>
      </c>
      <c r="C619" s="24">
        <v>16</v>
      </c>
    </row>
    <row r="620" spans="1:3" hidden="1" x14ac:dyDescent="0.2">
      <c r="A620" s="24">
        <v>506</v>
      </c>
      <c r="B620" s="24" t="s">
        <v>2466</v>
      </c>
      <c r="C620" s="24">
        <v>12</v>
      </c>
    </row>
    <row r="621" spans="1:3" hidden="1" x14ac:dyDescent="0.2">
      <c r="A621" s="24">
        <v>507</v>
      </c>
      <c r="B621" s="24" t="s">
        <v>2469</v>
      </c>
      <c r="C621" s="24">
        <v>8</v>
      </c>
    </row>
    <row r="622" spans="1:3" hidden="1" x14ac:dyDescent="0.2">
      <c r="A622" s="24">
        <v>508</v>
      </c>
      <c r="B622" s="24" t="s">
        <v>2472</v>
      </c>
      <c r="C622" s="24">
        <v>1</v>
      </c>
    </row>
    <row r="623" spans="1:3" hidden="1" x14ac:dyDescent="0.2">
      <c r="A623" s="24">
        <v>509</v>
      </c>
      <c r="B623" s="24" t="s">
        <v>2475</v>
      </c>
      <c r="C623" s="24">
        <v>8</v>
      </c>
    </row>
    <row r="624" spans="1:3" hidden="1" x14ac:dyDescent="0.2">
      <c r="A624" s="24">
        <v>510</v>
      </c>
      <c r="B624" s="24" t="s">
        <v>941</v>
      </c>
      <c r="C624" s="24">
        <v>3</v>
      </c>
    </row>
    <row r="625" spans="1:3" hidden="1" x14ac:dyDescent="0.2">
      <c r="A625" s="24">
        <v>511</v>
      </c>
      <c r="B625" s="24" t="s">
        <v>2478</v>
      </c>
      <c r="C625" s="24">
        <v>17</v>
      </c>
    </row>
    <row r="626" spans="1:3" hidden="1" x14ac:dyDescent="0.2">
      <c r="A626" s="24">
        <v>512</v>
      </c>
      <c r="B626" s="24" t="s">
        <v>2481</v>
      </c>
      <c r="C626" s="24">
        <v>9</v>
      </c>
    </row>
    <row r="627" spans="1:3" hidden="1" x14ac:dyDescent="0.2">
      <c r="A627" s="24">
        <v>513</v>
      </c>
      <c r="B627" s="24" t="s">
        <v>2834</v>
      </c>
      <c r="C627" s="24">
        <v>17</v>
      </c>
    </row>
    <row r="628" spans="1:3" hidden="1" x14ac:dyDescent="0.2">
      <c r="A628" s="24">
        <v>514</v>
      </c>
      <c r="B628" s="24" t="s">
        <v>2837</v>
      </c>
      <c r="C628" s="24">
        <v>12</v>
      </c>
    </row>
    <row r="629" spans="1:3" hidden="1" x14ac:dyDescent="0.2">
      <c r="A629" s="24">
        <v>516</v>
      </c>
      <c r="B629" s="24" t="s">
        <v>2840</v>
      </c>
      <c r="C629" s="24">
        <v>18</v>
      </c>
    </row>
    <row r="630" spans="1:3" hidden="1" x14ac:dyDescent="0.2">
      <c r="A630" s="24">
        <v>517</v>
      </c>
      <c r="B630" s="24" t="s">
        <v>2846</v>
      </c>
      <c r="C630" s="24">
        <v>14</v>
      </c>
    </row>
    <row r="631" spans="1:3" hidden="1" x14ac:dyDescent="0.2">
      <c r="A631" s="24">
        <v>518</v>
      </c>
      <c r="B631" s="24" t="s">
        <v>2849</v>
      </c>
      <c r="C631" s="24">
        <v>16</v>
      </c>
    </row>
    <row r="632" spans="1:3" hidden="1" x14ac:dyDescent="0.2">
      <c r="A632" s="24">
        <v>519</v>
      </c>
      <c r="B632" s="24" t="s">
        <v>2852</v>
      </c>
      <c r="C632" s="24">
        <v>2</v>
      </c>
    </row>
    <row r="633" spans="1:3" hidden="1" x14ac:dyDescent="0.2">
      <c r="A633" s="24">
        <v>520</v>
      </c>
      <c r="B633" s="24" t="s">
        <v>2855</v>
      </c>
      <c r="C633" s="24">
        <v>13</v>
      </c>
    </row>
    <row r="634" spans="1:3" hidden="1" x14ac:dyDescent="0.2">
      <c r="A634" s="24">
        <v>521</v>
      </c>
      <c r="B634" s="24" t="s">
        <v>2861</v>
      </c>
      <c r="C634" s="24">
        <v>2</v>
      </c>
    </row>
    <row r="635" spans="1:3" hidden="1" x14ac:dyDescent="0.2">
      <c r="A635" s="24">
        <v>522</v>
      </c>
      <c r="B635" s="24" t="s">
        <v>2867</v>
      </c>
      <c r="C635" s="24">
        <v>17</v>
      </c>
    </row>
    <row r="636" spans="1:3" hidden="1" x14ac:dyDescent="0.2">
      <c r="A636" s="24">
        <v>523</v>
      </c>
      <c r="B636" s="24" t="s">
        <v>2873</v>
      </c>
      <c r="C636" s="24">
        <v>19</v>
      </c>
    </row>
    <row r="637" spans="1:3" hidden="1" x14ac:dyDescent="0.2">
      <c r="A637" s="24">
        <v>524</v>
      </c>
      <c r="B637" s="24" t="s">
        <v>2876</v>
      </c>
      <c r="C637" s="24">
        <v>10</v>
      </c>
    </row>
    <row r="638" spans="1:3" hidden="1" x14ac:dyDescent="0.2">
      <c r="A638" s="24">
        <v>525</v>
      </c>
      <c r="B638" s="24" t="s">
        <v>2879</v>
      </c>
      <c r="C638" s="24">
        <v>13</v>
      </c>
    </row>
    <row r="639" spans="1:3" hidden="1" x14ac:dyDescent="0.2">
      <c r="A639" s="24">
        <v>526</v>
      </c>
      <c r="B639" s="24" t="s">
        <v>2882</v>
      </c>
      <c r="C639" s="24">
        <v>2</v>
      </c>
    </row>
    <row r="640" spans="1:3" hidden="1" x14ac:dyDescent="0.2">
      <c r="A640" s="24">
        <v>527</v>
      </c>
      <c r="B640" s="24" t="s">
        <v>2305</v>
      </c>
      <c r="C640" s="24">
        <v>2</v>
      </c>
    </row>
    <row r="641" spans="1:3" hidden="1" x14ac:dyDescent="0.2">
      <c r="A641" s="24">
        <v>528</v>
      </c>
      <c r="B641" s="24" t="s">
        <v>2308</v>
      </c>
      <c r="C641" s="24">
        <v>17</v>
      </c>
    </row>
    <row r="642" spans="1:3" hidden="1" x14ac:dyDescent="0.2">
      <c r="A642" s="24">
        <v>530</v>
      </c>
      <c r="B642" s="24" t="s">
        <v>791</v>
      </c>
      <c r="C642" s="24">
        <v>4</v>
      </c>
    </row>
    <row r="643" spans="1:3" hidden="1" x14ac:dyDescent="0.2">
      <c r="A643" s="24">
        <v>531</v>
      </c>
      <c r="B643" s="24" t="s">
        <v>2647</v>
      </c>
      <c r="C643" s="24">
        <v>18</v>
      </c>
    </row>
    <row r="644" spans="1:3" hidden="1" x14ac:dyDescent="0.2">
      <c r="A644" s="24">
        <v>533</v>
      </c>
      <c r="B644" s="24" t="s">
        <v>2153</v>
      </c>
      <c r="C644" s="24">
        <v>1</v>
      </c>
    </row>
    <row r="645" spans="1:3" hidden="1" x14ac:dyDescent="0.2">
      <c r="A645" s="24">
        <v>534</v>
      </c>
      <c r="B645" s="24" t="s">
        <v>1880</v>
      </c>
      <c r="C645" s="24">
        <v>16</v>
      </c>
    </row>
    <row r="646" spans="1:3" hidden="1" x14ac:dyDescent="0.2">
      <c r="A646" s="24">
        <v>535</v>
      </c>
      <c r="B646" s="24" t="s">
        <v>1776</v>
      </c>
      <c r="C646" s="24">
        <v>16</v>
      </c>
    </row>
    <row r="647" spans="1:3" hidden="1" x14ac:dyDescent="0.2">
      <c r="A647" s="24">
        <v>536</v>
      </c>
      <c r="B647" s="24" t="s">
        <v>233</v>
      </c>
      <c r="C647" s="24">
        <v>1</v>
      </c>
    </row>
    <row r="648" spans="1:3" hidden="1" x14ac:dyDescent="0.2">
      <c r="A648" s="24">
        <v>537</v>
      </c>
      <c r="B648" s="24" t="s">
        <v>2792</v>
      </c>
      <c r="C648" s="24">
        <v>13</v>
      </c>
    </row>
    <row r="649" spans="1:3" hidden="1" x14ac:dyDescent="0.2">
      <c r="A649" s="24">
        <v>538</v>
      </c>
      <c r="B649" s="24" t="s">
        <v>809</v>
      </c>
      <c r="C649" s="24">
        <v>8</v>
      </c>
    </row>
    <row r="650" spans="1:3" hidden="1" x14ac:dyDescent="0.2">
      <c r="A650" s="24">
        <v>539</v>
      </c>
      <c r="B650" s="24" t="s">
        <v>583</v>
      </c>
      <c r="C650" s="24">
        <v>1</v>
      </c>
    </row>
    <row r="651" spans="1:3" hidden="1" x14ac:dyDescent="0.2">
      <c r="A651" s="24">
        <v>540</v>
      </c>
      <c r="B651" s="24" t="s">
        <v>437</v>
      </c>
      <c r="C651" s="24">
        <v>1</v>
      </c>
    </row>
    <row r="652" spans="1:3" hidden="1" x14ac:dyDescent="0.2">
      <c r="A652" s="24">
        <v>541</v>
      </c>
      <c r="B652" s="24" t="s">
        <v>723</v>
      </c>
      <c r="C652" s="24">
        <v>1</v>
      </c>
    </row>
    <row r="653" spans="1:3" hidden="1" x14ac:dyDescent="0.2">
      <c r="A653" s="24">
        <v>542</v>
      </c>
      <c r="B653" s="24" t="s">
        <v>752</v>
      </c>
      <c r="C653" s="24">
        <v>1</v>
      </c>
    </row>
    <row r="654" spans="1:3" hidden="1" x14ac:dyDescent="0.2">
      <c r="A654" s="24">
        <v>543</v>
      </c>
      <c r="B654" s="24" t="s">
        <v>2870</v>
      </c>
      <c r="C654" s="24">
        <v>1</v>
      </c>
    </row>
    <row r="655" spans="1:3" hidden="1" x14ac:dyDescent="0.2">
      <c r="A655" s="24">
        <v>544</v>
      </c>
      <c r="B655" s="24" t="s">
        <v>2854</v>
      </c>
      <c r="C655" s="24">
        <v>1</v>
      </c>
    </row>
    <row r="656" spans="1:3" hidden="1" x14ac:dyDescent="0.2">
      <c r="A656" s="24">
        <v>545</v>
      </c>
      <c r="B656" s="24" t="s">
        <v>2156</v>
      </c>
      <c r="C656" s="24">
        <v>1</v>
      </c>
    </row>
    <row r="657" spans="1:3" hidden="1" x14ac:dyDescent="0.2">
      <c r="A657" s="24">
        <v>547</v>
      </c>
      <c r="B657" s="24" t="s">
        <v>2146</v>
      </c>
      <c r="C657" s="24">
        <v>1</v>
      </c>
    </row>
    <row r="658" spans="1:3" hidden="1" x14ac:dyDescent="0.2">
      <c r="A658" s="24">
        <v>548</v>
      </c>
      <c r="B658" s="24" t="s">
        <v>1341</v>
      </c>
      <c r="C658" s="24">
        <v>1</v>
      </c>
    </row>
    <row r="659" spans="1:3" hidden="1" x14ac:dyDescent="0.2">
      <c r="A659" s="24">
        <v>549</v>
      </c>
      <c r="B659" s="24" t="s">
        <v>1832</v>
      </c>
      <c r="C659" s="24">
        <v>1</v>
      </c>
    </row>
    <row r="660" spans="1:3" hidden="1" x14ac:dyDescent="0.2">
      <c r="A660" s="24">
        <v>550</v>
      </c>
      <c r="B660" s="24" t="s">
        <v>237</v>
      </c>
      <c r="C660" s="24">
        <v>1</v>
      </c>
    </row>
    <row r="661" spans="1:3" hidden="1" x14ac:dyDescent="0.2">
      <c r="A661" s="24">
        <v>551</v>
      </c>
      <c r="B661" s="24" t="s">
        <v>1351</v>
      </c>
      <c r="C661" s="24">
        <v>1</v>
      </c>
    </row>
    <row r="662" spans="1:3" hidden="1" x14ac:dyDescent="0.2">
      <c r="A662" s="24">
        <v>552</v>
      </c>
      <c r="B662" s="24" t="s">
        <v>2862</v>
      </c>
      <c r="C662" s="24">
        <v>2</v>
      </c>
    </row>
    <row r="663" spans="1:3" hidden="1" x14ac:dyDescent="0.2">
      <c r="A663" s="24">
        <v>553</v>
      </c>
      <c r="B663" s="24" t="s">
        <v>1922</v>
      </c>
      <c r="C663" s="24">
        <v>2</v>
      </c>
    </row>
    <row r="664" spans="1:3" hidden="1" x14ac:dyDescent="0.2">
      <c r="A664" s="24">
        <v>554</v>
      </c>
      <c r="B664" s="24" t="s">
        <v>712</v>
      </c>
      <c r="C664" s="24">
        <v>2</v>
      </c>
    </row>
    <row r="665" spans="1:3" hidden="1" x14ac:dyDescent="0.2">
      <c r="A665" s="24">
        <v>555</v>
      </c>
      <c r="B665" s="24" t="s">
        <v>1362</v>
      </c>
      <c r="C665" s="24">
        <v>3</v>
      </c>
    </row>
    <row r="666" spans="1:3" hidden="1" x14ac:dyDescent="0.2">
      <c r="A666" s="24">
        <v>556</v>
      </c>
      <c r="B666" s="24" t="s">
        <v>801</v>
      </c>
      <c r="C666" s="24">
        <v>4</v>
      </c>
    </row>
    <row r="667" spans="1:3" hidden="1" x14ac:dyDescent="0.2">
      <c r="A667" s="24">
        <v>557</v>
      </c>
      <c r="B667" s="24" t="s">
        <v>376</v>
      </c>
      <c r="C667" s="24">
        <v>4</v>
      </c>
    </row>
    <row r="668" spans="1:3" hidden="1" x14ac:dyDescent="0.2">
      <c r="A668" s="24">
        <v>558</v>
      </c>
      <c r="B668" s="24" t="s">
        <v>1623</v>
      </c>
      <c r="C668" s="24">
        <v>5</v>
      </c>
    </row>
    <row r="669" spans="1:3" hidden="1" x14ac:dyDescent="0.2">
      <c r="A669" s="24">
        <v>559</v>
      </c>
      <c r="B669" s="24" t="s">
        <v>2871</v>
      </c>
      <c r="C669" s="24">
        <v>6</v>
      </c>
    </row>
    <row r="670" spans="1:3" hidden="1" x14ac:dyDescent="0.2">
      <c r="A670" s="24">
        <v>560</v>
      </c>
      <c r="B670" s="24" t="s">
        <v>2874</v>
      </c>
      <c r="C670" s="24">
        <v>6</v>
      </c>
    </row>
    <row r="671" spans="1:3" hidden="1" x14ac:dyDescent="0.2">
      <c r="A671" s="24">
        <v>561</v>
      </c>
      <c r="B671" s="24" t="s">
        <v>1839</v>
      </c>
      <c r="C671" s="24">
        <v>6</v>
      </c>
    </row>
    <row r="672" spans="1:3" hidden="1" x14ac:dyDescent="0.2">
      <c r="A672" s="24">
        <v>562</v>
      </c>
      <c r="B672" s="24" t="s">
        <v>1917</v>
      </c>
      <c r="C672" s="24">
        <v>7</v>
      </c>
    </row>
    <row r="673" spans="1:3" hidden="1" x14ac:dyDescent="0.2">
      <c r="A673" s="24">
        <v>564</v>
      </c>
      <c r="B673" s="24" t="s">
        <v>410</v>
      </c>
      <c r="C673" s="24">
        <v>7</v>
      </c>
    </row>
    <row r="674" spans="1:3" hidden="1" x14ac:dyDescent="0.2">
      <c r="A674" s="24">
        <v>565</v>
      </c>
      <c r="B674" s="24" t="s">
        <v>1620</v>
      </c>
      <c r="C674" s="24">
        <v>7</v>
      </c>
    </row>
    <row r="675" spans="1:3" hidden="1" x14ac:dyDescent="0.2">
      <c r="A675" s="24">
        <v>566</v>
      </c>
      <c r="B675" s="24" t="s">
        <v>788</v>
      </c>
      <c r="C675" s="24">
        <v>7</v>
      </c>
    </row>
    <row r="676" spans="1:3" hidden="1" x14ac:dyDescent="0.2">
      <c r="A676" s="24">
        <v>567</v>
      </c>
      <c r="B676" s="24" t="s">
        <v>125</v>
      </c>
      <c r="C676" s="24">
        <v>12</v>
      </c>
    </row>
    <row r="677" spans="1:3" hidden="1" x14ac:dyDescent="0.2">
      <c r="A677" s="24">
        <v>568</v>
      </c>
      <c r="B677" s="24" t="s">
        <v>414</v>
      </c>
      <c r="C677" s="24">
        <v>12</v>
      </c>
    </row>
    <row r="678" spans="1:3" hidden="1" x14ac:dyDescent="0.2">
      <c r="A678" s="24">
        <v>569</v>
      </c>
      <c r="B678" s="24" t="s">
        <v>1624</v>
      </c>
      <c r="C678" s="24">
        <v>12</v>
      </c>
    </row>
    <row r="679" spans="1:3" hidden="1" x14ac:dyDescent="0.2">
      <c r="A679" s="24">
        <v>570</v>
      </c>
      <c r="B679" s="24" t="s">
        <v>1923</v>
      </c>
      <c r="C679" s="24">
        <v>12</v>
      </c>
    </row>
    <row r="680" spans="1:3" hidden="1" x14ac:dyDescent="0.2">
      <c r="A680" s="24">
        <v>571</v>
      </c>
      <c r="B680" s="24" t="s">
        <v>1853</v>
      </c>
      <c r="C680" s="24">
        <v>13</v>
      </c>
    </row>
    <row r="681" spans="1:3" hidden="1" x14ac:dyDescent="0.2">
      <c r="A681" s="24">
        <v>572</v>
      </c>
      <c r="B681" s="24" t="s">
        <v>1916</v>
      </c>
      <c r="C681" s="24">
        <v>13</v>
      </c>
    </row>
    <row r="682" spans="1:3" hidden="1" x14ac:dyDescent="0.2">
      <c r="A682" s="24">
        <v>573</v>
      </c>
      <c r="B682" s="24" t="s">
        <v>2878</v>
      </c>
      <c r="C682" s="24">
        <v>13</v>
      </c>
    </row>
    <row r="683" spans="1:3" hidden="1" x14ac:dyDescent="0.2">
      <c r="A683" s="24">
        <v>574</v>
      </c>
      <c r="B683" s="24" t="s">
        <v>2795</v>
      </c>
      <c r="C683" s="24">
        <v>13</v>
      </c>
    </row>
    <row r="684" spans="1:3" hidden="1" x14ac:dyDescent="0.2">
      <c r="A684" s="24">
        <v>575</v>
      </c>
      <c r="B684" s="24" t="s">
        <v>192</v>
      </c>
      <c r="C684" s="24">
        <v>13</v>
      </c>
    </row>
    <row r="685" spans="1:3" hidden="1" x14ac:dyDescent="0.2">
      <c r="A685" s="24">
        <v>576</v>
      </c>
      <c r="B685" s="24" t="s">
        <v>724</v>
      </c>
      <c r="C685" s="24">
        <v>14</v>
      </c>
    </row>
    <row r="686" spans="1:3" hidden="1" x14ac:dyDescent="0.2">
      <c r="A686" s="24">
        <v>578</v>
      </c>
      <c r="B686" s="24" t="s">
        <v>1359</v>
      </c>
      <c r="C686" s="24">
        <v>14</v>
      </c>
    </row>
    <row r="687" spans="1:3" hidden="1" x14ac:dyDescent="0.2">
      <c r="A687" s="24">
        <v>579</v>
      </c>
      <c r="B687" s="24" t="s">
        <v>2411</v>
      </c>
      <c r="C687" s="24">
        <v>14</v>
      </c>
    </row>
    <row r="688" spans="1:3" hidden="1" x14ac:dyDescent="0.2">
      <c r="A688" s="24">
        <v>581</v>
      </c>
      <c r="B688" s="24" t="s">
        <v>2456</v>
      </c>
      <c r="C688" s="24">
        <v>15</v>
      </c>
    </row>
    <row r="689" spans="1:3" hidden="1" x14ac:dyDescent="0.2">
      <c r="A689" s="24">
        <v>582</v>
      </c>
      <c r="B689" s="24" t="s">
        <v>807</v>
      </c>
      <c r="C689" s="24">
        <v>15</v>
      </c>
    </row>
    <row r="690" spans="1:3" hidden="1" x14ac:dyDescent="0.2">
      <c r="A690" s="24">
        <v>583</v>
      </c>
      <c r="B690" s="24" t="s">
        <v>2796</v>
      </c>
      <c r="C690" s="24">
        <v>16</v>
      </c>
    </row>
    <row r="691" spans="1:3" hidden="1" x14ac:dyDescent="0.2">
      <c r="A691" s="24">
        <v>584</v>
      </c>
      <c r="B691" s="24" t="s">
        <v>2455</v>
      </c>
      <c r="C691" s="24">
        <v>16</v>
      </c>
    </row>
    <row r="692" spans="1:3" hidden="1" x14ac:dyDescent="0.2">
      <c r="A692" s="24">
        <v>585</v>
      </c>
      <c r="B692" s="24" t="s">
        <v>196</v>
      </c>
      <c r="C692" s="24">
        <v>17</v>
      </c>
    </row>
    <row r="693" spans="1:3" hidden="1" x14ac:dyDescent="0.2">
      <c r="A693" s="24">
        <v>586</v>
      </c>
      <c r="B693" s="24" t="s">
        <v>2120</v>
      </c>
      <c r="C693" s="24">
        <v>17</v>
      </c>
    </row>
    <row r="694" spans="1:3" hidden="1" x14ac:dyDescent="0.2">
      <c r="A694" s="24">
        <v>587</v>
      </c>
      <c r="B694" s="24" t="s">
        <v>1391</v>
      </c>
      <c r="C694" s="24">
        <v>17</v>
      </c>
    </row>
    <row r="695" spans="1:3" hidden="1" x14ac:dyDescent="0.2">
      <c r="A695" s="24">
        <v>588</v>
      </c>
      <c r="B695" s="24" t="s">
        <v>1854</v>
      </c>
      <c r="C695" s="24">
        <v>17</v>
      </c>
    </row>
    <row r="696" spans="1:3" hidden="1" x14ac:dyDescent="0.2">
      <c r="A696" s="24">
        <v>589</v>
      </c>
      <c r="B696" s="24" t="s">
        <v>2646</v>
      </c>
      <c r="C696" s="24">
        <v>17</v>
      </c>
    </row>
    <row r="697" spans="1:3" hidden="1" x14ac:dyDescent="0.2">
      <c r="A697" s="24">
        <v>590</v>
      </c>
      <c r="B697" s="24" t="s">
        <v>439</v>
      </c>
      <c r="C697" s="24">
        <v>17</v>
      </c>
    </row>
    <row r="698" spans="1:3" hidden="1" x14ac:dyDescent="0.2">
      <c r="A698" s="24">
        <v>591</v>
      </c>
      <c r="B698" s="24" t="s">
        <v>2142</v>
      </c>
      <c r="C698" s="24">
        <v>17</v>
      </c>
    </row>
    <row r="699" spans="1:3" hidden="1" x14ac:dyDescent="0.2">
      <c r="A699" s="24">
        <v>592</v>
      </c>
      <c r="B699" s="24" t="s">
        <v>1369</v>
      </c>
      <c r="C699" s="24">
        <v>17</v>
      </c>
    </row>
    <row r="700" spans="1:3" hidden="1" x14ac:dyDescent="0.2">
      <c r="A700" s="24">
        <v>593</v>
      </c>
      <c r="B700" s="24" t="s">
        <v>14</v>
      </c>
      <c r="C700" s="24">
        <v>17</v>
      </c>
    </row>
    <row r="701" spans="1:3" hidden="1" x14ac:dyDescent="0.2">
      <c r="A701" s="24">
        <v>595</v>
      </c>
      <c r="B701" s="24" t="s">
        <v>2858</v>
      </c>
      <c r="C701" s="24">
        <v>17</v>
      </c>
    </row>
    <row r="702" spans="1:3" hidden="1" x14ac:dyDescent="0.2">
      <c r="A702" s="24">
        <v>596</v>
      </c>
      <c r="B702" s="24" t="s">
        <v>2645</v>
      </c>
      <c r="C702" s="24">
        <v>18</v>
      </c>
    </row>
    <row r="703" spans="1:3" hidden="1" x14ac:dyDescent="0.2">
      <c r="A703" s="24">
        <v>597</v>
      </c>
      <c r="B703" s="24" t="s">
        <v>1878</v>
      </c>
      <c r="C703" s="24">
        <v>18</v>
      </c>
    </row>
    <row r="704" spans="1:3" hidden="1" x14ac:dyDescent="0.2">
      <c r="A704" s="24">
        <v>598</v>
      </c>
      <c r="B704" s="24" t="s">
        <v>1305</v>
      </c>
      <c r="C704" s="24">
        <v>19</v>
      </c>
    </row>
    <row r="705" spans="1:3" hidden="1" x14ac:dyDescent="0.2">
      <c r="A705" s="24">
        <v>599</v>
      </c>
      <c r="B705" s="24" t="s">
        <v>2841</v>
      </c>
      <c r="C705" s="24">
        <v>19</v>
      </c>
    </row>
    <row r="706" spans="1:3" hidden="1" x14ac:dyDescent="0.2">
      <c r="A706" s="24">
        <v>600</v>
      </c>
      <c r="B706" s="24" t="s">
        <v>1347</v>
      </c>
      <c r="C706" s="24">
        <v>19</v>
      </c>
    </row>
    <row r="707" spans="1:3" hidden="1" x14ac:dyDescent="0.2">
      <c r="A707" s="24">
        <v>601</v>
      </c>
      <c r="B707" s="24" t="s">
        <v>9</v>
      </c>
      <c r="C707" s="24">
        <v>19</v>
      </c>
    </row>
    <row r="708" spans="1:3" hidden="1" x14ac:dyDescent="0.2">
      <c r="A708" s="24">
        <v>602</v>
      </c>
      <c r="B708" s="24" t="s">
        <v>440</v>
      </c>
      <c r="C708" s="24">
        <v>19</v>
      </c>
    </row>
    <row r="709" spans="1:3" hidden="1" x14ac:dyDescent="0.2">
      <c r="A709" s="24">
        <v>603</v>
      </c>
      <c r="B709" s="24" t="s">
        <v>1367</v>
      </c>
      <c r="C709" s="24">
        <v>20</v>
      </c>
    </row>
    <row r="710" spans="1:3" hidden="1" x14ac:dyDescent="0.2">
      <c r="A710" s="24">
        <v>604</v>
      </c>
      <c r="B710" s="24" t="s">
        <v>754</v>
      </c>
      <c r="C710" s="24">
        <v>20</v>
      </c>
    </row>
    <row r="711" spans="1:3" hidden="1" x14ac:dyDescent="0.2">
      <c r="A711" s="24">
        <v>605</v>
      </c>
      <c r="B711" s="24" t="s">
        <v>1625</v>
      </c>
      <c r="C711" s="24">
        <v>20</v>
      </c>
    </row>
    <row r="712" spans="1:3" hidden="1" x14ac:dyDescent="0.2">
      <c r="A712" s="24">
        <v>606</v>
      </c>
      <c r="B712" s="24" t="s">
        <v>1342</v>
      </c>
      <c r="C712" s="24">
        <v>20</v>
      </c>
    </row>
    <row r="713" spans="1:3" hidden="1" x14ac:dyDescent="0.2">
      <c r="A713" s="24">
        <v>607</v>
      </c>
      <c r="B713" s="24" t="s">
        <v>1372</v>
      </c>
      <c r="C713" s="24">
        <v>20</v>
      </c>
    </row>
    <row r="714" spans="1:3" hidden="1" x14ac:dyDescent="0.2">
      <c r="A714" s="24">
        <v>608</v>
      </c>
      <c r="B714" s="24" t="s">
        <v>413</v>
      </c>
      <c r="C714" s="24">
        <v>20</v>
      </c>
    </row>
    <row r="715" spans="1:3" hidden="1" x14ac:dyDescent="0.2">
      <c r="A715" s="24">
        <v>609</v>
      </c>
      <c r="B715" s="24" t="s">
        <v>2479</v>
      </c>
      <c r="C715" s="24">
        <v>14</v>
      </c>
    </row>
    <row r="716" spans="1:3" hidden="1" x14ac:dyDescent="0.2">
      <c r="A716" s="24">
        <v>610</v>
      </c>
      <c r="B716" s="24" t="s">
        <v>728</v>
      </c>
      <c r="C716" s="24">
        <v>16</v>
      </c>
    </row>
    <row r="717" spans="1:3" hidden="1" x14ac:dyDescent="0.2">
      <c r="A717" s="24">
        <v>612</v>
      </c>
      <c r="B717" s="24" t="s">
        <v>2202</v>
      </c>
      <c r="C717" s="24">
        <v>16</v>
      </c>
    </row>
    <row r="718" spans="1:3" hidden="1" x14ac:dyDescent="0.2">
      <c r="A718" s="24">
        <v>614</v>
      </c>
      <c r="B718" s="24" t="s">
        <v>424</v>
      </c>
      <c r="C718" s="24">
        <v>14</v>
      </c>
    </row>
    <row r="719" spans="1:3" hidden="1" x14ac:dyDescent="0.2">
      <c r="A719" s="24">
        <v>616</v>
      </c>
      <c r="B719" s="24" t="s">
        <v>2842</v>
      </c>
      <c r="C719" s="24">
        <v>6</v>
      </c>
    </row>
    <row r="720" spans="1:3" hidden="1" x14ac:dyDescent="0.2">
      <c r="A720" s="24">
        <v>617</v>
      </c>
      <c r="B720" s="24" t="s">
        <v>669</v>
      </c>
      <c r="C720" s="24">
        <v>15</v>
      </c>
    </row>
    <row r="721" spans="1:3" hidden="1" x14ac:dyDescent="0.2">
      <c r="A721" s="24">
        <v>618</v>
      </c>
      <c r="B721" s="24" t="s">
        <v>1618</v>
      </c>
      <c r="C721" s="24">
        <v>6</v>
      </c>
    </row>
    <row r="722" spans="1:3" hidden="1" x14ac:dyDescent="0.2">
      <c r="A722" s="24">
        <v>619</v>
      </c>
      <c r="B722" s="24" t="s">
        <v>1838</v>
      </c>
      <c r="C722" s="24">
        <v>18</v>
      </c>
    </row>
    <row r="723" spans="1:3" hidden="1" x14ac:dyDescent="0.2">
      <c r="A723" s="24">
        <v>620</v>
      </c>
      <c r="B723" s="24" t="s">
        <v>2097</v>
      </c>
      <c r="C723" s="24">
        <v>20</v>
      </c>
    </row>
    <row r="724" spans="1:3" hidden="1" x14ac:dyDescent="0.2">
      <c r="A724" s="24">
        <v>621</v>
      </c>
      <c r="B724" s="24" t="s">
        <v>811</v>
      </c>
      <c r="C724" s="24">
        <v>15</v>
      </c>
    </row>
    <row r="725" spans="1:3" hidden="1" x14ac:dyDescent="0.2">
      <c r="A725" s="24">
        <v>622</v>
      </c>
      <c r="B725" s="24" t="s">
        <v>235</v>
      </c>
      <c r="C725" s="24">
        <v>13</v>
      </c>
    </row>
    <row r="726" spans="1:3" hidden="1" x14ac:dyDescent="0.2">
      <c r="A726" s="24">
        <v>623</v>
      </c>
      <c r="B726" s="24" t="s">
        <v>2877</v>
      </c>
      <c r="C726" s="24">
        <v>4</v>
      </c>
    </row>
    <row r="727" spans="1:3" hidden="1" x14ac:dyDescent="0.2">
      <c r="A727" s="24">
        <v>624</v>
      </c>
      <c r="B727" s="24" t="s">
        <v>1394</v>
      </c>
      <c r="C727" s="24">
        <v>8</v>
      </c>
    </row>
    <row r="728" spans="1:3" hidden="1" x14ac:dyDescent="0.2">
      <c r="A728" s="24">
        <v>625</v>
      </c>
      <c r="B728" s="24" t="s">
        <v>2843</v>
      </c>
      <c r="C728" s="24">
        <v>13</v>
      </c>
    </row>
    <row r="729" spans="1:3" hidden="1" x14ac:dyDescent="0.2">
      <c r="A729" s="24">
        <v>626</v>
      </c>
      <c r="B729" s="24" t="s">
        <v>382</v>
      </c>
      <c r="C729" s="24">
        <v>15</v>
      </c>
    </row>
    <row r="730" spans="1:3" hidden="1" x14ac:dyDescent="0.2">
      <c r="A730" s="24">
        <v>628</v>
      </c>
      <c r="B730" s="24" t="s">
        <v>670</v>
      </c>
      <c r="C730" s="24">
        <v>16</v>
      </c>
    </row>
    <row r="731" spans="1:3" hidden="1" x14ac:dyDescent="0.2">
      <c r="A731" s="24">
        <v>629</v>
      </c>
      <c r="B731" s="24" t="s">
        <v>1847</v>
      </c>
      <c r="C731" s="24">
        <v>18</v>
      </c>
    </row>
    <row r="732" spans="1:3" hidden="1" x14ac:dyDescent="0.2">
      <c r="A732" s="24">
        <v>631</v>
      </c>
      <c r="B732" s="24" t="s">
        <v>2200</v>
      </c>
      <c r="C732" s="24">
        <v>18</v>
      </c>
    </row>
    <row r="736" spans="1:3" hidden="1" x14ac:dyDescent="0.2">
      <c r="A736" s="24" t="s">
        <v>2980</v>
      </c>
      <c r="B736" s="24" t="s">
        <v>2025</v>
      </c>
    </row>
    <row r="737" spans="1:2" hidden="1" x14ac:dyDescent="0.2">
      <c r="A737" s="24" t="s">
        <v>2039</v>
      </c>
      <c r="B737" s="24" t="s">
        <v>2026</v>
      </c>
    </row>
    <row r="738" spans="1:2" hidden="1" x14ac:dyDescent="0.2">
      <c r="A738" s="24" t="s">
        <v>2802</v>
      </c>
      <c r="B738" s="24" t="s">
        <v>2803</v>
      </c>
    </row>
    <row r="739" spans="1:2" hidden="1" x14ac:dyDescent="0.2">
      <c r="A739" s="24" t="s">
        <v>2804</v>
      </c>
      <c r="B739" s="24" t="s">
        <v>2027</v>
      </c>
    </row>
    <row r="740" spans="1:2" hidden="1" x14ac:dyDescent="0.2">
      <c r="A740" s="24" t="s">
        <v>2805</v>
      </c>
      <c r="B740" s="24" t="s">
        <v>918</v>
      </c>
    </row>
    <row r="741" spans="1:2" hidden="1" x14ac:dyDescent="0.2">
      <c r="A741" s="24" t="s">
        <v>443</v>
      </c>
      <c r="B741" s="24" t="s">
        <v>444</v>
      </c>
    </row>
    <row r="742" spans="1:2" hidden="1" x14ac:dyDescent="0.2">
      <c r="A742" s="24" t="s">
        <v>445</v>
      </c>
      <c r="B742" s="24" t="s">
        <v>446</v>
      </c>
    </row>
    <row r="743" spans="1:2" hidden="1" x14ac:dyDescent="0.2">
      <c r="A743" s="24" t="s">
        <v>447</v>
      </c>
      <c r="B743" s="24" t="s">
        <v>448</v>
      </c>
    </row>
    <row r="744" spans="1:2" hidden="1" x14ac:dyDescent="0.2">
      <c r="A744" s="24" t="s">
        <v>449</v>
      </c>
      <c r="B744" s="24" t="s">
        <v>450</v>
      </c>
    </row>
    <row r="745" spans="1:2" hidden="1" x14ac:dyDescent="0.2">
      <c r="A745" s="24" t="s">
        <v>451</v>
      </c>
      <c r="B745" s="24" t="s">
        <v>452</v>
      </c>
    </row>
    <row r="746" spans="1:2" hidden="1" x14ac:dyDescent="0.2">
      <c r="A746" s="24" t="s">
        <v>453</v>
      </c>
      <c r="B746" s="24" t="s">
        <v>454</v>
      </c>
    </row>
    <row r="747" spans="1:2" hidden="1" x14ac:dyDescent="0.2">
      <c r="A747" s="24" t="s">
        <v>455</v>
      </c>
      <c r="B747" s="24" t="s">
        <v>456</v>
      </c>
    </row>
    <row r="748" spans="1:2" hidden="1" x14ac:dyDescent="0.2">
      <c r="A748" s="24" t="s">
        <v>457</v>
      </c>
      <c r="B748" s="24" t="s">
        <v>1481</v>
      </c>
    </row>
    <row r="749" spans="1:2" hidden="1" x14ac:dyDescent="0.2">
      <c r="A749" s="24" t="s">
        <v>1658</v>
      </c>
      <c r="B749" s="24" t="s">
        <v>1659</v>
      </c>
    </row>
    <row r="750" spans="1:2" hidden="1" x14ac:dyDescent="0.2">
      <c r="A750" s="24" t="s">
        <v>1660</v>
      </c>
      <c r="B750" s="24" t="s">
        <v>1225</v>
      </c>
    </row>
    <row r="751" spans="1:2" hidden="1" x14ac:dyDescent="0.2">
      <c r="A751" s="24" t="s">
        <v>1226</v>
      </c>
      <c r="B751" s="24" t="s">
        <v>1482</v>
      </c>
    </row>
    <row r="752" spans="1:2" hidden="1" x14ac:dyDescent="0.2">
      <c r="A752" s="24" t="s">
        <v>137</v>
      </c>
      <c r="B752" s="24" t="s">
        <v>138</v>
      </c>
    </row>
    <row r="753" spans="1:2" hidden="1" x14ac:dyDescent="0.2">
      <c r="A753" s="24" t="s">
        <v>139</v>
      </c>
      <c r="B753" s="24" t="s">
        <v>140</v>
      </c>
    </row>
    <row r="754" spans="1:2" hidden="1" x14ac:dyDescent="0.2">
      <c r="A754" s="24" t="s">
        <v>141</v>
      </c>
      <c r="B754" s="24" t="s">
        <v>142</v>
      </c>
    </row>
    <row r="755" spans="1:2" hidden="1" x14ac:dyDescent="0.2">
      <c r="A755" s="24" t="s">
        <v>2759</v>
      </c>
      <c r="B755" s="24" t="s">
        <v>2760</v>
      </c>
    </row>
    <row r="756" spans="1:2" hidden="1" x14ac:dyDescent="0.2">
      <c r="A756" s="24" t="s">
        <v>2761</v>
      </c>
      <c r="B756" s="24" t="s">
        <v>2762</v>
      </c>
    </row>
    <row r="757" spans="1:2" hidden="1" x14ac:dyDescent="0.2">
      <c r="A757" s="24" t="s">
        <v>2763</v>
      </c>
      <c r="B757" s="24" t="s">
        <v>2764</v>
      </c>
    </row>
    <row r="758" spans="1:2" hidden="1" x14ac:dyDescent="0.2">
      <c r="A758" s="24" t="s">
        <v>2765</v>
      </c>
      <c r="B758" s="24" t="s">
        <v>2766</v>
      </c>
    </row>
    <row r="759" spans="1:2" hidden="1" x14ac:dyDescent="0.2">
      <c r="A759" s="24" t="s">
        <v>2767</v>
      </c>
      <c r="B759" s="24" t="s">
        <v>2768</v>
      </c>
    </row>
    <row r="760" spans="1:2" hidden="1" x14ac:dyDescent="0.2">
      <c r="A760" s="24" t="s">
        <v>2769</v>
      </c>
      <c r="B760" s="24" t="s">
        <v>2770</v>
      </c>
    </row>
    <row r="761" spans="1:2" hidden="1" x14ac:dyDescent="0.2">
      <c r="A761" s="24" t="s">
        <v>2771</v>
      </c>
      <c r="B761" s="24" t="s">
        <v>2772</v>
      </c>
    </row>
    <row r="762" spans="1:2" hidden="1" x14ac:dyDescent="0.2">
      <c r="A762" s="24" t="s">
        <v>2773</v>
      </c>
      <c r="B762" s="24" t="s">
        <v>2774</v>
      </c>
    </row>
    <row r="763" spans="1:2" hidden="1" x14ac:dyDescent="0.2">
      <c r="A763" s="24" t="s">
        <v>2775</v>
      </c>
      <c r="B763" s="24" t="s">
        <v>1822</v>
      </c>
    </row>
    <row r="764" spans="1:2" hidden="1" x14ac:dyDescent="0.2">
      <c r="A764" s="24" t="s">
        <v>1823</v>
      </c>
      <c r="B764" s="24" t="s">
        <v>1824</v>
      </c>
    </row>
    <row r="765" spans="1:2" hidden="1" x14ac:dyDescent="0.2">
      <c r="A765" s="24" t="s">
        <v>1825</v>
      </c>
      <c r="B765" s="24" t="s">
        <v>1483</v>
      </c>
    </row>
    <row r="766" spans="1:2" hidden="1" x14ac:dyDescent="0.2">
      <c r="A766" s="24" t="s">
        <v>1826</v>
      </c>
      <c r="B766" s="24" t="s">
        <v>1827</v>
      </c>
    </row>
    <row r="767" spans="1:2" hidden="1" x14ac:dyDescent="0.2">
      <c r="A767" s="24" t="s">
        <v>1828</v>
      </c>
      <c r="B767" s="24" t="s">
        <v>1484</v>
      </c>
    </row>
    <row r="768" spans="1:2" hidden="1" x14ac:dyDescent="0.2">
      <c r="A768" s="24" t="s">
        <v>1829</v>
      </c>
      <c r="B768" s="24" t="s">
        <v>1485</v>
      </c>
    </row>
    <row r="769" spans="1:2" hidden="1" x14ac:dyDescent="0.2">
      <c r="A769" s="24" t="s">
        <v>973</v>
      </c>
      <c r="B769" s="24" t="s">
        <v>974</v>
      </c>
    </row>
    <row r="770" spans="1:2" hidden="1" x14ac:dyDescent="0.2">
      <c r="A770" s="24" t="s">
        <v>975</v>
      </c>
      <c r="B770" s="24" t="s">
        <v>1486</v>
      </c>
    </row>
    <row r="771" spans="1:2" hidden="1" x14ac:dyDescent="0.2">
      <c r="A771" s="24" t="s">
        <v>976</v>
      </c>
      <c r="B771" s="24" t="s">
        <v>977</v>
      </c>
    </row>
    <row r="772" spans="1:2" hidden="1" x14ac:dyDescent="0.2">
      <c r="A772" s="24" t="s">
        <v>978</v>
      </c>
      <c r="B772" s="24" t="s">
        <v>979</v>
      </c>
    </row>
    <row r="773" spans="1:2" hidden="1" x14ac:dyDescent="0.2">
      <c r="A773" s="24" t="s">
        <v>980</v>
      </c>
      <c r="B773" s="24" t="s">
        <v>981</v>
      </c>
    </row>
    <row r="774" spans="1:2" hidden="1" x14ac:dyDescent="0.2">
      <c r="A774" s="24" t="s">
        <v>982</v>
      </c>
      <c r="B774" s="24" t="s">
        <v>983</v>
      </c>
    </row>
    <row r="775" spans="1:2" hidden="1" x14ac:dyDescent="0.2">
      <c r="A775" s="24" t="s">
        <v>984</v>
      </c>
      <c r="B775" s="24" t="s">
        <v>985</v>
      </c>
    </row>
    <row r="776" spans="1:2" hidden="1" x14ac:dyDescent="0.2">
      <c r="A776" s="24" t="s">
        <v>986</v>
      </c>
      <c r="B776" s="24" t="s">
        <v>987</v>
      </c>
    </row>
    <row r="777" spans="1:2" hidden="1" x14ac:dyDescent="0.2">
      <c r="A777" s="24" t="s">
        <v>988</v>
      </c>
      <c r="B777" s="24" t="s">
        <v>2280</v>
      </c>
    </row>
    <row r="778" spans="1:2" hidden="1" x14ac:dyDescent="0.2">
      <c r="A778" s="24" t="s">
        <v>2281</v>
      </c>
      <c r="B778" s="24" t="s">
        <v>2282</v>
      </c>
    </row>
    <row r="779" spans="1:2" hidden="1" x14ac:dyDescent="0.2">
      <c r="A779" s="24" t="s">
        <v>2283</v>
      </c>
      <c r="B779" s="24" t="s">
        <v>2284</v>
      </c>
    </row>
    <row r="780" spans="1:2" hidden="1" x14ac:dyDescent="0.2">
      <c r="A780" s="24" t="s">
        <v>1286</v>
      </c>
      <c r="B780" s="24" t="s">
        <v>1287</v>
      </c>
    </row>
    <row r="781" spans="1:2" hidden="1" x14ac:dyDescent="0.2">
      <c r="A781" s="24" t="s">
        <v>1288</v>
      </c>
      <c r="B781" s="24" t="s">
        <v>1289</v>
      </c>
    </row>
    <row r="782" spans="1:2" hidden="1" x14ac:dyDescent="0.2">
      <c r="A782" s="24" t="s">
        <v>1290</v>
      </c>
      <c r="B782" s="24" t="s">
        <v>1291</v>
      </c>
    </row>
    <row r="783" spans="1:2" hidden="1" x14ac:dyDescent="0.2">
      <c r="A783" s="24" t="s">
        <v>1292</v>
      </c>
      <c r="B783" s="24" t="s">
        <v>1487</v>
      </c>
    </row>
    <row r="784" spans="1:2" hidden="1" x14ac:dyDescent="0.2">
      <c r="A784" s="24" t="s">
        <v>2060</v>
      </c>
      <c r="B784" s="24" t="s">
        <v>1488</v>
      </c>
    </row>
    <row r="785" spans="1:2" hidden="1" x14ac:dyDescent="0.2">
      <c r="A785" s="24" t="s">
        <v>2061</v>
      </c>
      <c r="B785" s="24" t="s">
        <v>2062</v>
      </c>
    </row>
    <row r="786" spans="1:2" hidden="1" x14ac:dyDescent="0.2">
      <c r="A786" s="24" t="s">
        <v>561</v>
      </c>
      <c r="B786" s="24" t="s">
        <v>562</v>
      </c>
    </row>
    <row r="787" spans="1:2" hidden="1" x14ac:dyDescent="0.2">
      <c r="A787" s="24" t="s">
        <v>563</v>
      </c>
      <c r="B787" s="24" t="s">
        <v>564</v>
      </c>
    </row>
    <row r="788" spans="1:2" hidden="1" x14ac:dyDescent="0.2">
      <c r="A788" s="24" t="s">
        <v>565</v>
      </c>
      <c r="B788" s="24" t="s">
        <v>566</v>
      </c>
    </row>
    <row r="789" spans="1:2" hidden="1" x14ac:dyDescent="0.2">
      <c r="A789" s="24" t="s">
        <v>567</v>
      </c>
      <c r="B789" s="24" t="s">
        <v>1489</v>
      </c>
    </row>
    <row r="790" spans="1:2" hidden="1" x14ac:dyDescent="0.2">
      <c r="A790" s="24" t="s">
        <v>2048</v>
      </c>
      <c r="B790" s="24" t="s">
        <v>1490</v>
      </c>
    </row>
    <row r="791" spans="1:2" hidden="1" x14ac:dyDescent="0.2">
      <c r="A791" s="24" t="s">
        <v>1818</v>
      </c>
      <c r="B791" s="24" t="s">
        <v>321</v>
      </c>
    </row>
    <row r="792" spans="1:2" hidden="1" x14ac:dyDescent="0.2">
      <c r="A792" s="24" t="s">
        <v>322</v>
      </c>
      <c r="B792" s="24" t="s">
        <v>323</v>
      </c>
    </row>
    <row r="793" spans="1:2" hidden="1" x14ac:dyDescent="0.2">
      <c r="A793" s="24" t="s">
        <v>324</v>
      </c>
      <c r="B793" s="24" t="s">
        <v>640</v>
      </c>
    </row>
    <row r="794" spans="1:2" hidden="1" x14ac:dyDescent="0.2">
      <c r="A794" s="24" t="s">
        <v>325</v>
      </c>
      <c r="B794" s="24" t="s">
        <v>641</v>
      </c>
    </row>
    <row r="795" spans="1:2" hidden="1" x14ac:dyDescent="0.2">
      <c r="A795" s="24" t="s">
        <v>326</v>
      </c>
      <c r="B795" s="24" t="s">
        <v>327</v>
      </c>
    </row>
    <row r="796" spans="1:2" hidden="1" x14ac:dyDescent="0.2">
      <c r="A796" s="24" t="s">
        <v>328</v>
      </c>
      <c r="B796" s="24" t="s">
        <v>1563</v>
      </c>
    </row>
    <row r="797" spans="1:2" hidden="1" x14ac:dyDescent="0.2">
      <c r="A797" s="24" t="s">
        <v>1564</v>
      </c>
      <c r="B797" s="24" t="s">
        <v>331</v>
      </c>
    </row>
    <row r="798" spans="1:2" hidden="1" x14ac:dyDescent="0.2">
      <c r="A798" s="24" t="s">
        <v>1565</v>
      </c>
      <c r="B798" s="24" t="s">
        <v>1566</v>
      </c>
    </row>
    <row r="799" spans="1:2" hidden="1" x14ac:dyDescent="0.2">
      <c r="A799" s="24" t="s">
        <v>1567</v>
      </c>
      <c r="B799" s="24" t="s">
        <v>332</v>
      </c>
    </row>
    <row r="800" spans="1:2" hidden="1" x14ac:dyDescent="0.2">
      <c r="A800" s="24" t="s">
        <v>1568</v>
      </c>
      <c r="B800" s="24" t="s">
        <v>387</v>
      </c>
    </row>
    <row r="801" spans="1:2" hidden="1" x14ac:dyDescent="0.2">
      <c r="A801" s="24" t="s">
        <v>388</v>
      </c>
      <c r="B801" s="24" t="s">
        <v>389</v>
      </c>
    </row>
    <row r="802" spans="1:2" hidden="1" x14ac:dyDescent="0.2">
      <c r="A802" s="24" t="s">
        <v>390</v>
      </c>
      <c r="B802" s="24" t="s">
        <v>391</v>
      </c>
    </row>
    <row r="803" spans="1:2" hidden="1" x14ac:dyDescent="0.2">
      <c r="A803" s="24" t="s">
        <v>392</v>
      </c>
      <c r="B803" s="24" t="s">
        <v>2648</v>
      </c>
    </row>
    <row r="804" spans="1:2" hidden="1" x14ac:dyDescent="0.2">
      <c r="A804" s="24" t="s">
        <v>2649</v>
      </c>
      <c r="B804" s="24" t="s">
        <v>333</v>
      </c>
    </row>
    <row r="805" spans="1:2" hidden="1" x14ac:dyDescent="0.2">
      <c r="A805" s="24" t="s">
        <v>2650</v>
      </c>
      <c r="B805" s="24" t="s">
        <v>334</v>
      </c>
    </row>
    <row r="806" spans="1:2" hidden="1" x14ac:dyDescent="0.2">
      <c r="A806" s="24" t="s">
        <v>551</v>
      </c>
      <c r="B806" s="24" t="s">
        <v>335</v>
      </c>
    </row>
    <row r="807" spans="1:2" hidden="1" x14ac:dyDescent="0.2">
      <c r="A807" s="24" t="s">
        <v>2670</v>
      </c>
      <c r="B807" s="24" t="s">
        <v>2671</v>
      </c>
    </row>
    <row r="808" spans="1:2" hidden="1" x14ac:dyDescent="0.2">
      <c r="A808" s="24" t="s">
        <v>2672</v>
      </c>
      <c r="B808" s="24" t="s">
        <v>336</v>
      </c>
    </row>
    <row r="809" spans="1:2" hidden="1" x14ac:dyDescent="0.2">
      <c r="A809" s="24" t="s">
        <v>2673</v>
      </c>
      <c r="B809" s="24" t="s">
        <v>2674</v>
      </c>
    </row>
    <row r="810" spans="1:2" hidden="1" x14ac:dyDescent="0.2">
      <c r="A810" s="24" t="s">
        <v>2675</v>
      </c>
      <c r="B810" s="24" t="s">
        <v>337</v>
      </c>
    </row>
    <row r="811" spans="1:2" hidden="1" x14ac:dyDescent="0.2">
      <c r="A811" s="24" t="s">
        <v>2676</v>
      </c>
      <c r="B811" s="24" t="s">
        <v>2677</v>
      </c>
    </row>
    <row r="812" spans="1:2" hidden="1" x14ac:dyDescent="0.2">
      <c r="A812" s="24" t="s">
        <v>1875</v>
      </c>
      <c r="B812" s="24" t="s">
        <v>338</v>
      </c>
    </row>
    <row r="813" spans="1:2" hidden="1" x14ac:dyDescent="0.2">
      <c r="A813" s="24" t="s">
        <v>1120</v>
      </c>
      <c r="B813" s="24" t="s">
        <v>339</v>
      </c>
    </row>
    <row r="814" spans="1:2" hidden="1" x14ac:dyDescent="0.2">
      <c r="A814" s="24" t="s">
        <v>2398</v>
      </c>
      <c r="B814" s="24" t="s">
        <v>1819</v>
      </c>
    </row>
    <row r="815" spans="1:2" hidden="1" x14ac:dyDescent="0.2">
      <c r="A815" s="24" t="s">
        <v>1820</v>
      </c>
      <c r="B815" s="24" t="s">
        <v>340</v>
      </c>
    </row>
    <row r="816" spans="1:2" hidden="1" x14ac:dyDescent="0.2">
      <c r="A816" s="24" t="s">
        <v>1821</v>
      </c>
      <c r="B816" s="24" t="s">
        <v>2981</v>
      </c>
    </row>
    <row r="817" spans="1:2" hidden="1" x14ac:dyDescent="0.2">
      <c r="A817" s="24" t="s">
        <v>394</v>
      </c>
      <c r="B817" s="24" t="s">
        <v>395</v>
      </c>
    </row>
    <row r="818" spans="1:2" hidden="1" x14ac:dyDescent="0.2">
      <c r="A818" s="24" t="s">
        <v>396</v>
      </c>
      <c r="B818" s="24" t="s">
        <v>1202</v>
      </c>
    </row>
    <row r="819" spans="1:2" hidden="1" x14ac:dyDescent="0.2">
      <c r="A819" s="24" t="s">
        <v>397</v>
      </c>
      <c r="B819" s="24" t="s">
        <v>1203</v>
      </c>
    </row>
    <row r="820" spans="1:2" hidden="1" x14ac:dyDescent="0.2">
      <c r="A820" s="24" t="s">
        <v>398</v>
      </c>
      <c r="B820" s="24" t="s">
        <v>399</v>
      </c>
    </row>
    <row r="821" spans="1:2" hidden="1" x14ac:dyDescent="0.2">
      <c r="A821" s="24" t="s">
        <v>400</v>
      </c>
      <c r="B821" s="24" t="s">
        <v>401</v>
      </c>
    </row>
    <row r="822" spans="1:2" hidden="1" x14ac:dyDescent="0.2">
      <c r="A822" s="24" t="s">
        <v>402</v>
      </c>
      <c r="B822" s="24" t="s">
        <v>2254</v>
      </c>
    </row>
    <row r="823" spans="1:2" hidden="1" x14ac:dyDescent="0.2">
      <c r="A823" s="24" t="s">
        <v>403</v>
      </c>
      <c r="B823" s="24" t="s">
        <v>2084</v>
      </c>
    </row>
    <row r="824" spans="1:2" hidden="1" x14ac:dyDescent="0.2">
      <c r="A824" s="24" t="s">
        <v>2085</v>
      </c>
      <c r="B824" s="24" t="s">
        <v>2086</v>
      </c>
    </row>
    <row r="825" spans="1:2" hidden="1" x14ac:dyDescent="0.2">
      <c r="A825" s="24" t="s">
        <v>2797</v>
      </c>
      <c r="B825" s="24" t="s">
        <v>1666</v>
      </c>
    </row>
    <row r="826" spans="1:2" hidden="1" x14ac:dyDescent="0.2">
      <c r="A826" s="24" t="s">
        <v>1667</v>
      </c>
      <c r="B826" s="24" t="s">
        <v>1668</v>
      </c>
    </row>
    <row r="827" spans="1:2" hidden="1" x14ac:dyDescent="0.2">
      <c r="A827" s="24" t="s">
        <v>1669</v>
      </c>
      <c r="B827" s="24" t="s">
        <v>1670</v>
      </c>
    </row>
    <row r="828" spans="1:2" hidden="1" x14ac:dyDescent="0.2">
      <c r="A828" s="24" t="s">
        <v>1671</v>
      </c>
      <c r="B828" s="24" t="s">
        <v>2255</v>
      </c>
    </row>
    <row r="829" spans="1:2" hidden="1" x14ac:dyDescent="0.2">
      <c r="A829" s="24" t="s">
        <v>1672</v>
      </c>
      <c r="B829" s="24" t="s">
        <v>1673</v>
      </c>
    </row>
    <row r="830" spans="1:2" hidden="1" x14ac:dyDescent="0.2">
      <c r="A830" s="24" t="s">
        <v>1674</v>
      </c>
      <c r="B830" s="24" t="s">
        <v>1077</v>
      </c>
    </row>
    <row r="831" spans="1:2" hidden="1" x14ac:dyDescent="0.2">
      <c r="A831" s="24" t="s">
        <v>1675</v>
      </c>
      <c r="B831" s="24" t="s">
        <v>1078</v>
      </c>
    </row>
    <row r="832" spans="1:2" hidden="1" x14ac:dyDescent="0.2">
      <c r="A832" s="24" t="s">
        <v>1676</v>
      </c>
      <c r="B832" s="24" t="s">
        <v>1079</v>
      </c>
    </row>
    <row r="833" spans="1:2" hidden="1" x14ac:dyDescent="0.2">
      <c r="A833" s="24" t="s">
        <v>1677</v>
      </c>
      <c r="B833" s="24" t="s">
        <v>1678</v>
      </c>
    </row>
    <row r="834" spans="1:2" hidden="1" x14ac:dyDescent="0.2">
      <c r="A834" s="24" t="s">
        <v>1679</v>
      </c>
      <c r="B834" s="24" t="s">
        <v>1680</v>
      </c>
    </row>
    <row r="835" spans="1:2" hidden="1" x14ac:dyDescent="0.2">
      <c r="A835" s="24" t="s">
        <v>1681</v>
      </c>
      <c r="B835" s="24" t="s">
        <v>1682</v>
      </c>
    </row>
    <row r="836" spans="1:2" hidden="1" x14ac:dyDescent="0.2">
      <c r="A836" s="24" t="s">
        <v>1683</v>
      </c>
      <c r="B836" s="24" t="s">
        <v>2450</v>
      </c>
    </row>
    <row r="837" spans="1:2" hidden="1" x14ac:dyDescent="0.2">
      <c r="A837" s="24" t="s">
        <v>2451</v>
      </c>
      <c r="B837" s="24" t="s">
        <v>2452</v>
      </c>
    </row>
    <row r="838" spans="1:2" hidden="1" x14ac:dyDescent="0.2">
      <c r="A838" s="24" t="s">
        <v>2453</v>
      </c>
      <c r="B838" s="24" t="s">
        <v>1080</v>
      </c>
    </row>
    <row r="839" spans="1:2" hidden="1" x14ac:dyDescent="0.2">
      <c r="A839" s="24" t="s">
        <v>2454</v>
      </c>
      <c r="B839" s="24" t="s">
        <v>2028</v>
      </c>
    </row>
    <row r="840" spans="1:2" hidden="1" x14ac:dyDescent="0.2">
      <c r="A840" s="24" t="s">
        <v>2029</v>
      </c>
      <c r="B840" s="24" t="s">
        <v>2030</v>
      </c>
    </row>
    <row r="841" spans="1:2" hidden="1" x14ac:dyDescent="0.2">
      <c r="A841" s="24" t="s">
        <v>2031</v>
      </c>
      <c r="B841" s="24" t="s">
        <v>1081</v>
      </c>
    </row>
    <row r="842" spans="1:2" hidden="1" x14ac:dyDescent="0.2">
      <c r="A842" s="24" t="s">
        <v>2032</v>
      </c>
      <c r="B842" s="24" t="s">
        <v>1082</v>
      </c>
    </row>
    <row r="843" spans="1:2" hidden="1" x14ac:dyDescent="0.2">
      <c r="A843" s="24" t="s">
        <v>2033</v>
      </c>
      <c r="B843" s="24" t="s">
        <v>1083</v>
      </c>
    </row>
    <row r="844" spans="1:2" hidden="1" x14ac:dyDescent="0.2">
      <c r="A844" s="24" t="s">
        <v>281</v>
      </c>
      <c r="B844" s="24" t="s">
        <v>282</v>
      </c>
    </row>
    <row r="845" spans="1:2" hidden="1" x14ac:dyDescent="0.2">
      <c r="A845" s="24" t="s">
        <v>283</v>
      </c>
      <c r="B845" s="24" t="s">
        <v>588</v>
      </c>
    </row>
    <row r="846" spans="1:2" hidden="1" x14ac:dyDescent="0.2">
      <c r="A846" s="24" t="s">
        <v>589</v>
      </c>
      <c r="B846" s="24" t="s">
        <v>1084</v>
      </c>
    </row>
    <row r="847" spans="1:2" hidden="1" x14ac:dyDescent="0.2">
      <c r="A847" s="24" t="s">
        <v>2163</v>
      </c>
      <c r="B847" s="24" t="s">
        <v>2164</v>
      </c>
    </row>
    <row r="848" spans="1:2" hidden="1" x14ac:dyDescent="0.2">
      <c r="A848" s="24" t="s">
        <v>2165</v>
      </c>
      <c r="B848" s="24" t="s">
        <v>2000</v>
      </c>
    </row>
    <row r="849" spans="1:2" hidden="1" x14ac:dyDescent="0.2">
      <c r="A849" s="24" t="s">
        <v>2166</v>
      </c>
      <c r="B849" s="24" t="s">
        <v>163</v>
      </c>
    </row>
    <row r="850" spans="1:2" hidden="1" x14ac:dyDescent="0.2">
      <c r="A850" s="24" t="s">
        <v>164</v>
      </c>
      <c r="B850" s="24" t="s">
        <v>2001</v>
      </c>
    </row>
    <row r="851" spans="1:2" hidden="1" x14ac:dyDescent="0.2">
      <c r="A851" s="24" t="s">
        <v>165</v>
      </c>
      <c r="B851" s="24" t="s">
        <v>822</v>
      </c>
    </row>
    <row r="852" spans="1:2" hidden="1" x14ac:dyDescent="0.2">
      <c r="A852" s="24" t="s">
        <v>823</v>
      </c>
      <c r="B852" s="24" t="s">
        <v>824</v>
      </c>
    </row>
    <row r="853" spans="1:2" hidden="1" x14ac:dyDescent="0.2">
      <c r="A853" s="24" t="s">
        <v>825</v>
      </c>
      <c r="B853" s="24" t="s">
        <v>2002</v>
      </c>
    </row>
    <row r="854" spans="1:2" hidden="1" x14ac:dyDescent="0.2">
      <c r="A854" s="24" t="s">
        <v>826</v>
      </c>
      <c r="B854" s="24" t="s">
        <v>2003</v>
      </c>
    </row>
    <row r="855" spans="1:2" hidden="1" x14ac:dyDescent="0.2">
      <c r="A855" s="24" t="s">
        <v>827</v>
      </c>
      <c r="B855" s="24" t="s">
        <v>2004</v>
      </c>
    </row>
    <row r="856" spans="1:2" hidden="1" x14ac:dyDescent="0.2">
      <c r="A856" s="24" t="s">
        <v>828</v>
      </c>
      <c r="B856" s="24" t="s">
        <v>829</v>
      </c>
    </row>
    <row r="857" spans="1:2" hidden="1" x14ac:dyDescent="0.2">
      <c r="A857" s="24" t="s">
        <v>830</v>
      </c>
      <c r="B857" s="24" t="s">
        <v>2005</v>
      </c>
    </row>
    <row r="858" spans="1:2" hidden="1" x14ac:dyDescent="0.2">
      <c r="A858" s="24" t="s">
        <v>1901</v>
      </c>
      <c r="B858" s="24" t="s">
        <v>1320</v>
      </c>
    </row>
    <row r="859" spans="1:2" hidden="1" x14ac:dyDescent="0.2">
      <c r="A859" s="24" t="s">
        <v>1321</v>
      </c>
      <c r="B859" s="24" t="s">
        <v>1322</v>
      </c>
    </row>
    <row r="860" spans="1:2" hidden="1" x14ac:dyDescent="0.2">
      <c r="A860" s="24" t="s">
        <v>1323</v>
      </c>
      <c r="B860" s="24" t="s">
        <v>1324</v>
      </c>
    </row>
    <row r="861" spans="1:2" hidden="1" x14ac:dyDescent="0.2">
      <c r="A861" s="24" t="s">
        <v>1325</v>
      </c>
      <c r="B861" s="24" t="s">
        <v>1109</v>
      </c>
    </row>
    <row r="862" spans="1:2" hidden="1" x14ac:dyDescent="0.2">
      <c r="A862" s="24" t="s">
        <v>1110</v>
      </c>
      <c r="B862" s="24" t="s">
        <v>1111</v>
      </c>
    </row>
    <row r="863" spans="1:2" hidden="1" x14ac:dyDescent="0.2">
      <c r="A863" s="24" t="s">
        <v>1112</v>
      </c>
      <c r="B863" s="24" t="s">
        <v>1113</v>
      </c>
    </row>
    <row r="864" spans="1:2" hidden="1" x14ac:dyDescent="0.2">
      <c r="A864" s="24" t="s">
        <v>1114</v>
      </c>
      <c r="B864" s="24" t="s">
        <v>1757</v>
      </c>
    </row>
    <row r="865" spans="1:2" hidden="1" x14ac:dyDescent="0.2">
      <c r="A865" s="24" t="s">
        <v>1115</v>
      </c>
      <c r="B865" s="24" t="s">
        <v>1116</v>
      </c>
    </row>
    <row r="866" spans="1:2" hidden="1" x14ac:dyDescent="0.2">
      <c r="A866" s="24" t="s">
        <v>1117</v>
      </c>
      <c r="B866" s="24" t="s">
        <v>2938</v>
      </c>
    </row>
    <row r="867" spans="1:2" hidden="1" x14ac:dyDescent="0.2">
      <c r="A867" s="24" t="s">
        <v>2939</v>
      </c>
      <c r="B867" s="24" t="s">
        <v>1758</v>
      </c>
    </row>
    <row r="868" spans="1:2" hidden="1" x14ac:dyDescent="0.2">
      <c r="A868" s="24" t="s">
        <v>2940</v>
      </c>
      <c r="B868" s="24" t="s">
        <v>1759</v>
      </c>
    </row>
    <row r="869" spans="1:2" hidden="1" x14ac:dyDescent="0.2">
      <c r="A869" s="24" t="s">
        <v>2941</v>
      </c>
      <c r="B869" s="24" t="s">
        <v>2942</v>
      </c>
    </row>
    <row r="870" spans="1:2" hidden="1" x14ac:dyDescent="0.2">
      <c r="A870" s="24" t="s">
        <v>2943</v>
      </c>
      <c r="B870" s="24" t="s">
        <v>2389</v>
      </c>
    </row>
    <row r="871" spans="1:2" hidden="1" x14ac:dyDescent="0.2">
      <c r="A871" s="24" t="s">
        <v>2944</v>
      </c>
      <c r="B871" s="24" t="s">
        <v>2390</v>
      </c>
    </row>
    <row r="872" spans="1:2" hidden="1" x14ac:dyDescent="0.2">
      <c r="A872" s="24" t="s">
        <v>2945</v>
      </c>
      <c r="B872" s="24" t="s">
        <v>2391</v>
      </c>
    </row>
    <row r="873" spans="1:2" hidden="1" x14ac:dyDescent="0.2">
      <c r="A873" s="24" t="s">
        <v>2745</v>
      </c>
      <c r="B873" s="24" t="s">
        <v>1739</v>
      </c>
    </row>
    <row r="874" spans="1:2" hidden="1" x14ac:dyDescent="0.2">
      <c r="A874" s="24" t="s">
        <v>2746</v>
      </c>
      <c r="B874" s="24" t="s">
        <v>1740</v>
      </c>
    </row>
    <row r="875" spans="1:2" hidden="1" x14ac:dyDescent="0.2">
      <c r="A875" s="24" t="s">
        <v>2747</v>
      </c>
      <c r="B875" s="24" t="s">
        <v>1741</v>
      </c>
    </row>
    <row r="876" spans="1:2" hidden="1" x14ac:dyDescent="0.2">
      <c r="A876" s="24" t="s">
        <v>1684</v>
      </c>
      <c r="B876" s="24" t="s">
        <v>1450</v>
      </c>
    </row>
    <row r="877" spans="1:2" hidden="1" x14ac:dyDescent="0.2">
      <c r="A877" s="24" t="s">
        <v>1451</v>
      </c>
      <c r="B877" s="24" t="s">
        <v>1452</v>
      </c>
    </row>
    <row r="878" spans="1:2" hidden="1" x14ac:dyDescent="0.2">
      <c r="A878" s="24" t="s">
        <v>1453</v>
      </c>
      <c r="B878" s="24" t="s">
        <v>1454</v>
      </c>
    </row>
    <row r="879" spans="1:2" hidden="1" x14ac:dyDescent="0.2">
      <c r="A879" s="24" t="s">
        <v>1455</v>
      </c>
      <c r="B879" s="24" t="s">
        <v>109</v>
      </c>
    </row>
    <row r="880" spans="1:2" hidden="1" x14ac:dyDescent="0.2">
      <c r="A880" s="24" t="s">
        <v>1456</v>
      </c>
      <c r="B880" s="24" t="s">
        <v>1457</v>
      </c>
    </row>
    <row r="881" spans="1:2" hidden="1" x14ac:dyDescent="0.2">
      <c r="A881" s="24" t="s">
        <v>1458</v>
      </c>
      <c r="B881" s="24" t="s">
        <v>110</v>
      </c>
    </row>
    <row r="882" spans="1:2" hidden="1" x14ac:dyDescent="0.2">
      <c r="A882" s="24" t="s">
        <v>1459</v>
      </c>
      <c r="B882" s="24" t="s">
        <v>997</v>
      </c>
    </row>
    <row r="883" spans="1:2" hidden="1" x14ac:dyDescent="0.2">
      <c r="A883" s="24" t="s">
        <v>998</v>
      </c>
      <c r="B883" s="24" t="s">
        <v>111</v>
      </c>
    </row>
    <row r="884" spans="1:2" hidden="1" x14ac:dyDescent="0.2">
      <c r="A884" s="24" t="s">
        <v>1569</v>
      </c>
      <c r="B884" s="24" t="s">
        <v>2270</v>
      </c>
    </row>
    <row r="885" spans="1:2" hidden="1" x14ac:dyDescent="0.2">
      <c r="A885" s="24" t="s">
        <v>2271</v>
      </c>
      <c r="B885" s="24" t="s">
        <v>112</v>
      </c>
    </row>
    <row r="886" spans="1:2" hidden="1" x14ac:dyDescent="0.2">
      <c r="A886" s="24" t="s">
        <v>2272</v>
      </c>
      <c r="B886" s="24" t="s">
        <v>2273</v>
      </c>
    </row>
    <row r="887" spans="1:2" hidden="1" x14ac:dyDescent="0.2">
      <c r="A887" s="24" t="s">
        <v>2274</v>
      </c>
      <c r="B887" s="24" t="s">
        <v>113</v>
      </c>
    </row>
    <row r="888" spans="1:2" hidden="1" x14ac:dyDescent="0.2">
      <c r="A888" s="24" t="s">
        <v>1754</v>
      </c>
      <c r="B888" s="24" t="s">
        <v>114</v>
      </c>
    </row>
    <row r="889" spans="1:2" hidden="1" x14ac:dyDescent="0.2">
      <c r="A889" s="24" t="s">
        <v>1755</v>
      </c>
      <c r="B889" s="24" t="s">
        <v>1756</v>
      </c>
    </row>
    <row r="890" spans="1:2" hidden="1" x14ac:dyDescent="0.2">
      <c r="A890" s="24" t="s">
        <v>1760</v>
      </c>
      <c r="B890" s="24" t="s">
        <v>1761</v>
      </c>
    </row>
    <row r="891" spans="1:2" hidden="1" x14ac:dyDescent="0.2">
      <c r="A891" s="24" t="s">
        <v>1762</v>
      </c>
      <c r="B891" s="24" t="s">
        <v>1763</v>
      </c>
    </row>
    <row r="892" spans="1:2" hidden="1" x14ac:dyDescent="0.2">
      <c r="A892" s="24" t="s">
        <v>1764</v>
      </c>
      <c r="B892" s="24" t="s">
        <v>49</v>
      </c>
    </row>
    <row r="893" spans="1:2" hidden="1" x14ac:dyDescent="0.2">
      <c r="A893" s="24" t="s">
        <v>50</v>
      </c>
      <c r="B893" s="24" t="s">
        <v>115</v>
      </c>
    </row>
    <row r="894" spans="1:2" hidden="1" x14ac:dyDescent="0.2">
      <c r="A894" s="24" t="s">
        <v>51</v>
      </c>
      <c r="B894" s="24" t="s">
        <v>52</v>
      </c>
    </row>
    <row r="895" spans="1:2" hidden="1" x14ac:dyDescent="0.2">
      <c r="A895" s="24" t="s">
        <v>187</v>
      </c>
      <c r="B895" s="24" t="s">
        <v>2780</v>
      </c>
    </row>
    <row r="896" spans="1:2" hidden="1" x14ac:dyDescent="0.2">
      <c r="A896" s="24" t="s">
        <v>2781</v>
      </c>
      <c r="B896" s="24" t="s">
        <v>116</v>
      </c>
    </row>
    <row r="897" spans="1:2" hidden="1" x14ac:dyDescent="0.2">
      <c r="A897" s="24" t="s">
        <v>2782</v>
      </c>
      <c r="B897" s="24" t="s">
        <v>117</v>
      </c>
    </row>
    <row r="898" spans="1:2" hidden="1" x14ac:dyDescent="0.2">
      <c r="A898" s="24" t="s">
        <v>1511</v>
      </c>
      <c r="B898" s="24" t="s">
        <v>1777</v>
      </c>
    </row>
    <row r="899" spans="1:2" hidden="1" x14ac:dyDescent="0.2">
      <c r="A899" s="24" t="s">
        <v>1778</v>
      </c>
      <c r="B899" s="24" t="s">
        <v>118</v>
      </c>
    </row>
    <row r="900" spans="1:2" hidden="1" x14ac:dyDescent="0.2">
      <c r="A900" s="24" t="s">
        <v>1779</v>
      </c>
      <c r="B900" s="24" t="s">
        <v>119</v>
      </c>
    </row>
    <row r="901" spans="1:2" hidden="1" x14ac:dyDescent="0.2">
      <c r="A901" s="24" t="s">
        <v>1572</v>
      </c>
      <c r="B901" s="24" t="s">
        <v>120</v>
      </c>
    </row>
    <row r="902" spans="1:2" hidden="1" x14ac:dyDescent="0.2">
      <c r="A902" s="24" t="s">
        <v>1573</v>
      </c>
      <c r="B902" s="24" t="s">
        <v>1574</v>
      </c>
    </row>
    <row r="903" spans="1:2" hidden="1" x14ac:dyDescent="0.2">
      <c r="A903" s="24" t="s">
        <v>1575</v>
      </c>
      <c r="B903" s="24" t="s">
        <v>1576</v>
      </c>
    </row>
    <row r="904" spans="1:2" hidden="1" x14ac:dyDescent="0.2">
      <c r="A904" s="24" t="s">
        <v>1577</v>
      </c>
      <c r="B904" s="24" t="s">
        <v>121</v>
      </c>
    </row>
    <row r="905" spans="1:2" hidden="1" x14ac:dyDescent="0.2">
      <c r="A905" s="24" t="s">
        <v>1578</v>
      </c>
      <c r="B905" s="24" t="s">
        <v>122</v>
      </c>
    </row>
    <row r="906" spans="1:2" hidden="1" x14ac:dyDescent="0.2">
      <c r="A906" s="24" t="s">
        <v>1571</v>
      </c>
      <c r="B906" s="24" t="s">
        <v>2290</v>
      </c>
    </row>
    <row r="907" spans="1:2" hidden="1" x14ac:dyDescent="0.2">
      <c r="A907" s="24" t="s">
        <v>2291</v>
      </c>
      <c r="B907" s="24" t="s">
        <v>2292</v>
      </c>
    </row>
    <row r="908" spans="1:2" hidden="1" x14ac:dyDescent="0.2">
      <c r="A908" s="24" t="s">
        <v>2293</v>
      </c>
      <c r="B908" s="24" t="s">
        <v>2294</v>
      </c>
    </row>
    <row r="909" spans="1:2" hidden="1" x14ac:dyDescent="0.2">
      <c r="A909" s="24" t="s">
        <v>2295</v>
      </c>
      <c r="B909" s="24" t="s">
        <v>123</v>
      </c>
    </row>
    <row r="910" spans="1:2" hidden="1" x14ac:dyDescent="0.2">
      <c r="A910" s="24" t="s">
        <v>2296</v>
      </c>
      <c r="B910" s="24" t="s">
        <v>2297</v>
      </c>
    </row>
    <row r="911" spans="1:2" hidden="1" x14ac:dyDescent="0.2">
      <c r="A911" s="24" t="s">
        <v>2298</v>
      </c>
      <c r="B911" s="24" t="s">
        <v>2299</v>
      </c>
    </row>
    <row r="912" spans="1:2" hidden="1" x14ac:dyDescent="0.2">
      <c r="A912" s="24" t="s">
        <v>2300</v>
      </c>
      <c r="B912" s="24" t="s">
        <v>124</v>
      </c>
    </row>
    <row r="913" spans="1:2" hidden="1" x14ac:dyDescent="0.2">
      <c r="A913" s="24" t="s">
        <v>2301</v>
      </c>
      <c r="B913" s="24" t="s">
        <v>23</v>
      </c>
    </row>
    <row r="914" spans="1:2" hidden="1" x14ac:dyDescent="0.2">
      <c r="A914" s="24" t="s">
        <v>2613</v>
      </c>
      <c r="B914" s="24" t="s">
        <v>2614</v>
      </c>
    </row>
    <row r="915" spans="1:2" hidden="1" x14ac:dyDescent="0.2">
      <c r="A915" s="24" t="s">
        <v>2615</v>
      </c>
      <c r="B915" s="24" t="s">
        <v>2616</v>
      </c>
    </row>
    <row r="916" spans="1:2" hidden="1" x14ac:dyDescent="0.2">
      <c r="A916" s="24" t="s">
        <v>2617</v>
      </c>
      <c r="B916" s="24" t="s">
        <v>2618</v>
      </c>
    </row>
    <row r="917" spans="1:2" hidden="1" x14ac:dyDescent="0.2">
      <c r="A917" s="24" t="s">
        <v>2619</v>
      </c>
      <c r="B917" s="24" t="s">
        <v>2620</v>
      </c>
    </row>
    <row r="918" spans="1:2" hidden="1" x14ac:dyDescent="0.2">
      <c r="A918" s="24" t="s">
        <v>2621</v>
      </c>
      <c r="B918" s="24" t="s">
        <v>2622</v>
      </c>
    </row>
    <row r="919" spans="1:2" hidden="1" x14ac:dyDescent="0.2">
      <c r="A919" s="24" t="s">
        <v>2623</v>
      </c>
      <c r="B919" s="24" t="s">
        <v>2624</v>
      </c>
    </row>
    <row r="920" spans="1:2" hidden="1" x14ac:dyDescent="0.2">
      <c r="A920" s="24" t="s">
        <v>2625</v>
      </c>
      <c r="B920" s="24" t="s">
        <v>2626</v>
      </c>
    </row>
    <row r="921" spans="1:2" hidden="1" x14ac:dyDescent="0.2">
      <c r="A921" s="24" t="s">
        <v>2627</v>
      </c>
      <c r="B921" s="24" t="s">
        <v>2628</v>
      </c>
    </row>
    <row r="922" spans="1:2" hidden="1" x14ac:dyDescent="0.2">
      <c r="A922" s="24" t="s">
        <v>2629</v>
      </c>
      <c r="B922" s="24" t="s">
        <v>2630</v>
      </c>
    </row>
    <row r="923" spans="1:2" hidden="1" x14ac:dyDescent="0.2">
      <c r="A923" s="24" t="s">
        <v>2631</v>
      </c>
      <c r="B923" s="24" t="s">
        <v>2632</v>
      </c>
    </row>
    <row r="924" spans="1:2" hidden="1" x14ac:dyDescent="0.2">
      <c r="A924" s="24" t="s">
        <v>2633</v>
      </c>
      <c r="B924" s="24" t="s">
        <v>2634</v>
      </c>
    </row>
    <row r="925" spans="1:2" hidden="1" x14ac:dyDescent="0.2">
      <c r="A925" s="24" t="s">
        <v>2635</v>
      </c>
      <c r="B925" s="24" t="s">
        <v>2636</v>
      </c>
    </row>
    <row r="926" spans="1:2" hidden="1" x14ac:dyDescent="0.2">
      <c r="A926" s="24" t="s">
        <v>2637</v>
      </c>
      <c r="B926" s="24" t="s">
        <v>2783</v>
      </c>
    </row>
    <row r="927" spans="1:2" hidden="1" x14ac:dyDescent="0.2">
      <c r="A927" s="24" t="s">
        <v>2784</v>
      </c>
      <c r="B927" s="24" t="s">
        <v>2785</v>
      </c>
    </row>
    <row r="928" spans="1:2" hidden="1" x14ac:dyDescent="0.2">
      <c r="A928" s="24" t="s">
        <v>2786</v>
      </c>
      <c r="B928" s="24" t="s">
        <v>1495</v>
      </c>
    </row>
    <row r="929" spans="1:2" hidden="1" x14ac:dyDescent="0.2">
      <c r="A929" s="24" t="s">
        <v>1496</v>
      </c>
      <c r="B929" s="24" t="s">
        <v>24</v>
      </c>
    </row>
    <row r="930" spans="1:2" hidden="1" x14ac:dyDescent="0.2">
      <c r="A930" s="24" t="s">
        <v>1497</v>
      </c>
      <c r="B930" s="24" t="s">
        <v>1498</v>
      </c>
    </row>
    <row r="931" spans="1:2" hidden="1" x14ac:dyDescent="0.2">
      <c r="A931" s="24" t="s">
        <v>1499</v>
      </c>
      <c r="B931" s="24" t="s">
        <v>25</v>
      </c>
    </row>
    <row r="932" spans="1:2" hidden="1" x14ac:dyDescent="0.2">
      <c r="A932" s="24" t="s">
        <v>1500</v>
      </c>
      <c r="B932" s="24" t="s">
        <v>26</v>
      </c>
    </row>
    <row r="933" spans="1:2" hidden="1" x14ac:dyDescent="0.2">
      <c r="A933" s="24" t="s">
        <v>1501</v>
      </c>
      <c r="B933" s="24" t="s">
        <v>27</v>
      </c>
    </row>
    <row r="934" spans="1:2" hidden="1" x14ac:dyDescent="0.2">
      <c r="A934" s="24" t="s">
        <v>6</v>
      </c>
      <c r="B934" s="24" t="s">
        <v>7</v>
      </c>
    </row>
    <row r="935" spans="1:2" hidden="1" x14ac:dyDescent="0.2">
      <c r="A935" s="24" t="s">
        <v>8</v>
      </c>
      <c r="B935" s="24" t="s">
        <v>28</v>
      </c>
    </row>
    <row r="936" spans="1:2" hidden="1" x14ac:dyDescent="0.2">
      <c r="A936" s="24" t="s">
        <v>611</v>
      </c>
      <c r="B936" s="24" t="s">
        <v>612</v>
      </c>
    </row>
    <row r="937" spans="1:2" hidden="1" x14ac:dyDescent="0.2">
      <c r="A937" s="24" t="s">
        <v>613</v>
      </c>
      <c r="B937" s="24" t="s">
        <v>1240</v>
      </c>
    </row>
    <row r="938" spans="1:2" hidden="1" x14ac:dyDescent="0.2">
      <c r="A938" s="24" t="s">
        <v>1241</v>
      </c>
      <c r="B938" s="24" t="s">
        <v>1242</v>
      </c>
    </row>
    <row r="939" spans="1:2" hidden="1" x14ac:dyDescent="0.2">
      <c r="A939" s="24" t="s">
        <v>1243</v>
      </c>
      <c r="B939" s="24" t="s">
        <v>1865</v>
      </c>
    </row>
    <row r="940" spans="1:2" hidden="1" x14ac:dyDescent="0.2">
      <c r="A940" s="24" t="s">
        <v>1866</v>
      </c>
      <c r="B940" s="24" t="s">
        <v>1867</v>
      </c>
    </row>
    <row r="941" spans="1:2" hidden="1" x14ac:dyDescent="0.2">
      <c r="A941" s="24" t="s">
        <v>1868</v>
      </c>
      <c r="B941" s="24" t="s">
        <v>29</v>
      </c>
    </row>
    <row r="942" spans="1:2" hidden="1" x14ac:dyDescent="0.2">
      <c r="A942" s="24" t="s">
        <v>1502</v>
      </c>
      <c r="B942" s="24" t="s">
        <v>1503</v>
      </c>
    </row>
    <row r="943" spans="1:2" hidden="1" x14ac:dyDescent="0.2">
      <c r="A943" s="24" t="s">
        <v>1504</v>
      </c>
      <c r="B943" s="24" t="s">
        <v>30</v>
      </c>
    </row>
    <row r="944" spans="1:2" hidden="1" x14ac:dyDescent="0.2">
      <c r="A944" s="24" t="s">
        <v>292</v>
      </c>
      <c r="B944" s="24" t="s">
        <v>293</v>
      </c>
    </row>
    <row r="945" spans="1:2" hidden="1" x14ac:dyDescent="0.2">
      <c r="A945" s="24" t="s">
        <v>294</v>
      </c>
      <c r="B945" s="24" t="s">
        <v>31</v>
      </c>
    </row>
    <row r="946" spans="1:2" hidden="1" x14ac:dyDescent="0.2">
      <c r="A946" s="24" t="s">
        <v>295</v>
      </c>
      <c r="B946" s="24" t="s">
        <v>296</v>
      </c>
    </row>
    <row r="947" spans="1:2" hidden="1" x14ac:dyDescent="0.2">
      <c r="A947" s="24" t="s">
        <v>297</v>
      </c>
      <c r="B947" s="24" t="s">
        <v>298</v>
      </c>
    </row>
    <row r="948" spans="1:2" hidden="1" x14ac:dyDescent="0.2">
      <c r="A948" s="24" t="s">
        <v>299</v>
      </c>
      <c r="B948" s="24" t="s">
        <v>300</v>
      </c>
    </row>
    <row r="949" spans="1:2" hidden="1" x14ac:dyDescent="0.2">
      <c r="A949" s="24" t="s">
        <v>301</v>
      </c>
      <c r="B949" s="24" t="s">
        <v>2946</v>
      </c>
    </row>
    <row r="950" spans="1:2" hidden="1" x14ac:dyDescent="0.2">
      <c r="A950" s="24" t="s">
        <v>2947</v>
      </c>
      <c r="B950" s="24" t="s">
        <v>32</v>
      </c>
    </row>
    <row r="951" spans="1:2" hidden="1" x14ac:dyDescent="0.2">
      <c r="A951" s="24" t="s">
        <v>2948</v>
      </c>
      <c r="B951" s="24" t="s">
        <v>33</v>
      </c>
    </row>
    <row r="952" spans="1:2" hidden="1" x14ac:dyDescent="0.2">
      <c r="A952" s="24" t="s">
        <v>2949</v>
      </c>
      <c r="B952" s="24" t="s">
        <v>2950</v>
      </c>
    </row>
    <row r="953" spans="1:2" hidden="1" x14ac:dyDescent="0.2">
      <c r="A953" s="24" t="s">
        <v>182</v>
      </c>
      <c r="B953" s="24" t="s">
        <v>34</v>
      </c>
    </row>
    <row r="954" spans="1:2" hidden="1" x14ac:dyDescent="0.2">
      <c r="A954" s="24" t="s">
        <v>183</v>
      </c>
      <c r="B954" s="24" t="s">
        <v>35</v>
      </c>
    </row>
    <row r="955" spans="1:2" hidden="1" x14ac:dyDescent="0.2">
      <c r="A955" s="24" t="s">
        <v>172</v>
      </c>
      <c r="B955" s="24" t="s">
        <v>173</v>
      </c>
    </row>
    <row r="956" spans="1:2" hidden="1" x14ac:dyDescent="0.2">
      <c r="A956" s="24" t="s">
        <v>2661</v>
      </c>
      <c r="B956" s="24" t="s">
        <v>36</v>
      </c>
    </row>
    <row r="957" spans="1:2" hidden="1" x14ac:dyDescent="0.2">
      <c r="A957" s="24" t="s">
        <v>2662</v>
      </c>
      <c r="B957" s="24" t="s">
        <v>37</v>
      </c>
    </row>
    <row r="958" spans="1:2" hidden="1" x14ac:dyDescent="0.2">
      <c r="A958" s="24" t="s">
        <v>2663</v>
      </c>
      <c r="B958" s="24" t="s">
        <v>2664</v>
      </c>
    </row>
    <row r="959" spans="1:2" hidden="1" x14ac:dyDescent="0.2">
      <c r="A959" s="24" t="s">
        <v>2665</v>
      </c>
      <c r="B959" s="24" t="s">
        <v>2666</v>
      </c>
    </row>
    <row r="960" spans="1:2" hidden="1" x14ac:dyDescent="0.2">
      <c r="A960" s="24" t="s">
        <v>2978</v>
      </c>
      <c r="B960" s="24" t="s">
        <v>38</v>
      </c>
    </row>
    <row r="961" spans="1:2" hidden="1" x14ac:dyDescent="0.2">
      <c r="A961" s="24" t="s">
        <v>2979</v>
      </c>
      <c r="B961" s="24" t="s">
        <v>39</v>
      </c>
    </row>
    <row r="962" spans="1:2" hidden="1" x14ac:dyDescent="0.2">
      <c r="A962" s="24" t="s">
        <v>756</v>
      </c>
      <c r="B962" s="24" t="s">
        <v>40</v>
      </c>
    </row>
    <row r="963" spans="1:2" hidden="1" x14ac:dyDescent="0.2">
      <c r="A963" s="24" t="s">
        <v>2063</v>
      </c>
      <c r="B963" s="24" t="s">
        <v>41</v>
      </c>
    </row>
    <row r="964" spans="1:2" hidden="1" x14ac:dyDescent="0.2">
      <c r="A964" s="24" t="s">
        <v>2064</v>
      </c>
      <c r="B964" s="24" t="s">
        <v>42</v>
      </c>
    </row>
    <row r="965" spans="1:2" hidden="1" x14ac:dyDescent="0.2">
      <c r="A965" s="24" t="s">
        <v>2065</v>
      </c>
      <c r="B965" s="24" t="s">
        <v>2066</v>
      </c>
    </row>
    <row r="966" spans="1:2" hidden="1" x14ac:dyDescent="0.2">
      <c r="A966" s="24" t="s">
        <v>2067</v>
      </c>
      <c r="B966" s="24" t="s">
        <v>43</v>
      </c>
    </row>
    <row r="967" spans="1:2" hidden="1" x14ac:dyDescent="0.2">
      <c r="A967" s="24" t="s">
        <v>2068</v>
      </c>
      <c r="B967" s="24" t="s">
        <v>44</v>
      </c>
    </row>
    <row r="968" spans="1:2" hidden="1" x14ac:dyDescent="0.2">
      <c r="A968" s="24" t="s">
        <v>2069</v>
      </c>
      <c r="B968" s="24" t="s">
        <v>2070</v>
      </c>
    </row>
    <row r="969" spans="1:2" hidden="1" x14ac:dyDescent="0.2">
      <c r="A969" s="24" t="s">
        <v>2071</v>
      </c>
      <c r="B969" s="24" t="s">
        <v>2072</v>
      </c>
    </row>
    <row r="970" spans="1:2" hidden="1" x14ac:dyDescent="0.2">
      <c r="A970" s="24" t="s">
        <v>2073</v>
      </c>
      <c r="B970" s="24" t="s">
        <v>45</v>
      </c>
    </row>
    <row r="971" spans="1:2" hidden="1" x14ac:dyDescent="0.2">
      <c r="A971" s="24" t="s">
        <v>2074</v>
      </c>
      <c r="B971" s="24" t="s">
        <v>2075</v>
      </c>
    </row>
    <row r="972" spans="1:2" hidden="1" x14ac:dyDescent="0.2">
      <c r="A972" s="24" t="s">
        <v>2076</v>
      </c>
      <c r="B972" s="24" t="s">
        <v>46</v>
      </c>
    </row>
    <row r="973" spans="1:2" hidden="1" x14ac:dyDescent="0.2">
      <c r="A973" s="24" t="s">
        <v>2077</v>
      </c>
      <c r="B973" s="24" t="s">
        <v>47</v>
      </c>
    </row>
    <row r="974" spans="1:2" hidden="1" x14ac:dyDescent="0.2">
      <c r="A974" s="24" t="s">
        <v>432</v>
      </c>
      <c r="B974" s="24" t="s">
        <v>433</v>
      </c>
    </row>
    <row r="975" spans="1:2" hidden="1" x14ac:dyDescent="0.2">
      <c r="A975" s="24" t="s">
        <v>434</v>
      </c>
      <c r="B975" s="24" t="s">
        <v>48</v>
      </c>
    </row>
    <row r="976" spans="1:2" hidden="1" x14ac:dyDescent="0.2">
      <c r="A976" s="24" t="s">
        <v>435</v>
      </c>
      <c r="B976" s="24" t="s">
        <v>992</v>
      </c>
    </row>
    <row r="977" spans="1:2" hidden="1" x14ac:dyDescent="0.2">
      <c r="A977" s="24" t="s">
        <v>436</v>
      </c>
      <c r="B977" s="24" t="s">
        <v>993</v>
      </c>
    </row>
    <row r="978" spans="1:2" hidden="1" x14ac:dyDescent="0.2">
      <c r="A978" s="24" t="s">
        <v>1494</v>
      </c>
      <c r="B978" s="24" t="s">
        <v>1630</v>
      </c>
    </row>
    <row r="979" spans="1:2" hidden="1" x14ac:dyDescent="0.2">
      <c r="A979" s="24" t="s">
        <v>1631</v>
      </c>
      <c r="B979" s="24" t="s">
        <v>1509</v>
      </c>
    </row>
    <row r="980" spans="1:2" hidden="1" x14ac:dyDescent="0.2">
      <c r="A980" s="24" t="s">
        <v>1510</v>
      </c>
      <c r="B980" s="24" t="s">
        <v>2798</v>
      </c>
    </row>
    <row r="981" spans="1:2" hidden="1" x14ac:dyDescent="0.2">
      <c r="A981" s="24" t="s">
        <v>2799</v>
      </c>
      <c r="B981" s="24" t="s">
        <v>994</v>
      </c>
    </row>
    <row r="982" spans="1:2" hidden="1" x14ac:dyDescent="0.2">
      <c r="A982" s="24" t="s">
        <v>2800</v>
      </c>
      <c r="B982" s="24" t="s">
        <v>995</v>
      </c>
    </row>
    <row r="983" spans="1:2" hidden="1" x14ac:dyDescent="0.2">
      <c r="A983" s="24" t="s">
        <v>1632</v>
      </c>
      <c r="B983" s="24" t="s">
        <v>996</v>
      </c>
    </row>
    <row r="984" spans="1:2" hidden="1" x14ac:dyDescent="0.2">
      <c r="A984" s="24" t="s">
        <v>1633</v>
      </c>
      <c r="B984" s="24" t="s">
        <v>2930</v>
      </c>
    </row>
    <row r="985" spans="1:2" hidden="1" x14ac:dyDescent="0.2">
      <c r="A985" s="24" t="s">
        <v>1634</v>
      </c>
      <c r="B985" s="24" t="s">
        <v>1635</v>
      </c>
    </row>
    <row r="986" spans="1:2" hidden="1" x14ac:dyDescent="0.2">
      <c r="A986" s="24" t="s">
        <v>1636</v>
      </c>
      <c r="B986" s="24" t="s">
        <v>2931</v>
      </c>
    </row>
    <row r="987" spans="1:2" hidden="1" x14ac:dyDescent="0.2">
      <c r="A987" s="24" t="s">
        <v>1637</v>
      </c>
      <c r="B987" s="24" t="s">
        <v>1638</v>
      </c>
    </row>
    <row r="988" spans="1:2" hidden="1" x14ac:dyDescent="0.2">
      <c r="A988" s="24" t="s">
        <v>1218</v>
      </c>
      <c r="B988" s="24" t="s">
        <v>2932</v>
      </c>
    </row>
    <row r="989" spans="1:2" hidden="1" x14ac:dyDescent="0.2">
      <c r="A989" s="24" t="s">
        <v>1219</v>
      </c>
      <c r="B989" s="24" t="s">
        <v>2933</v>
      </c>
    </row>
    <row r="990" spans="1:2" hidden="1" x14ac:dyDescent="0.2">
      <c r="A990" s="24" t="s">
        <v>1220</v>
      </c>
      <c r="B990" s="24" t="s">
        <v>674</v>
      </c>
    </row>
    <row r="991" spans="1:2" hidden="1" x14ac:dyDescent="0.2">
      <c r="A991" s="24" t="s">
        <v>1221</v>
      </c>
      <c r="B991" s="24" t="s">
        <v>1222</v>
      </c>
    </row>
    <row r="992" spans="1:2" hidden="1" x14ac:dyDescent="0.2">
      <c r="A992" s="24" t="s">
        <v>1223</v>
      </c>
      <c r="B992" s="24" t="s">
        <v>675</v>
      </c>
    </row>
    <row r="993" spans="1:2" hidden="1" x14ac:dyDescent="0.2">
      <c r="A993" s="24" t="s">
        <v>1224</v>
      </c>
      <c r="B993" s="24" t="s">
        <v>1697</v>
      </c>
    </row>
    <row r="994" spans="1:2" hidden="1" x14ac:dyDescent="0.2">
      <c r="A994" s="24" t="s">
        <v>2059</v>
      </c>
      <c r="B994" s="24" t="s">
        <v>1698</v>
      </c>
    </row>
    <row r="995" spans="1:2" hidden="1" x14ac:dyDescent="0.2">
      <c r="A995" s="24" t="s">
        <v>466</v>
      </c>
      <c r="B995" s="24" t="s">
        <v>467</v>
      </c>
    </row>
    <row r="996" spans="1:2" hidden="1" x14ac:dyDescent="0.2">
      <c r="A996" s="24" t="s">
        <v>468</v>
      </c>
      <c r="B996" s="24" t="s">
        <v>469</v>
      </c>
    </row>
    <row r="997" spans="1:2" hidden="1" x14ac:dyDescent="0.2">
      <c r="A997" s="24" t="s">
        <v>470</v>
      </c>
      <c r="B997" s="24" t="s">
        <v>1699</v>
      </c>
    </row>
    <row r="998" spans="1:2" hidden="1" x14ac:dyDescent="0.2">
      <c r="A998" s="24" t="s">
        <v>1859</v>
      </c>
      <c r="B998" s="24" t="s">
        <v>1700</v>
      </c>
    </row>
    <row r="999" spans="1:2" hidden="1" x14ac:dyDescent="0.2">
      <c r="A999" s="24" t="s">
        <v>1860</v>
      </c>
      <c r="B999" s="24" t="s">
        <v>1701</v>
      </c>
    </row>
    <row r="1000" spans="1:2" hidden="1" x14ac:dyDescent="0.2">
      <c r="A1000" s="24" t="s">
        <v>1861</v>
      </c>
      <c r="B1000" s="24" t="s">
        <v>2049</v>
      </c>
    </row>
    <row r="1001" spans="1:2" hidden="1" x14ac:dyDescent="0.2">
      <c r="A1001" s="24" t="s">
        <v>2050</v>
      </c>
      <c r="B1001" s="24" t="s">
        <v>676</v>
      </c>
    </row>
    <row r="1002" spans="1:2" hidden="1" x14ac:dyDescent="0.2">
      <c r="A1002" s="24" t="s">
        <v>677</v>
      </c>
      <c r="B1002" s="24" t="s">
        <v>678</v>
      </c>
    </row>
    <row r="1003" spans="1:2" hidden="1" x14ac:dyDescent="0.2">
      <c r="A1003" s="24" t="s">
        <v>679</v>
      </c>
      <c r="B1003" s="24" t="s">
        <v>680</v>
      </c>
    </row>
    <row r="1004" spans="1:2" hidden="1" x14ac:dyDescent="0.2">
      <c r="A1004" s="24" t="s">
        <v>681</v>
      </c>
      <c r="B1004" s="24" t="s">
        <v>682</v>
      </c>
    </row>
    <row r="1005" spans="1:2" hidden="1" x14ac:dyDescent="0.2">
      <c r="A1005" s="24" t="s">
        <v>683</v>
      </c>
      <c r="B1005" s="24" t="s">
        <v>1702</v>
      </c>
    </row>
    <row r="1006" spans="1:2" hidden="1" x14ac:dyDescent="0.2">
      <c r="A1006" s="24" t="s">
        <v>2168</v>
      </c>
      <c r="B1006" s="24" t="s">
        <v>2169</v>
      </c>
    </row>
    <row r="1007" spans="1:2" hidden="1" x14ac:dyDescent="0.2">
      <c r="A1007" s="24" t="s">
        <v>2170</v>
      </c>
      <c r="B1007" s="24" t="s">
        <v>2171</v>
      </c>
    </row>
    <row r="1008" spans="1:2" hidden="1" x14ac:dyDescent="0.2">
      <c r="A1008" s="24" t="s">
        <v>2172</v>
      </c>
      <c r="B1008" s="24" t="s">
        <v>2173</v>
      </c>
    </row>
    <row r="1009" spans="1:2" hidden="1" x14ac:dyDescent="0.2">
      <c r="A1009" s="24" t="s">
        <v>2174</v>
      </c>
      <c r="B1009" s="24" t="s">
        <v>2263</v>
      </c>
    </row>
    <row r="1010" spans="1:2" hidden="1" x14ac:dyDescent="0.2">
      <c r="A1010" s="24" t="s">
        <v>1765</v>
      </c>
      <c r="B1010" s="24" t="s">
        <v>1766</v>
      </c>
    </row>
    <row r="1011" spans="1:2" hidden="1" x14ac:dyDescent="0.2">
      <c r="A1011" s="24" t="s">
        <v>1767</v>
      </c>
      <c r="B1011" s="24" t="s">
        <v>2392</v>
      </c>
    </row>
    <row r="1012" spans="1:2" hidden="1" x14ac:dyDescent="0.2">
      <c r="A1012" s="24" t="s">
        <v>2393</v>
      </c>
      <c r="B1012" s="24" t="s">
        <v>2394</v>
      </c>
    </row>
    <row r="1013" spans="1:2" hidden="1" x14ac:dyDescent="0.2">
      <c r="A1013" s="24" t="s">
        <v>2395</v>
      </c>
      <c r="B1013" s="24" t="s">
        <v>2396</v>
      </c>
    </row>
    <row r="1014" spans="1:2" hidden="1" x14ac:dyDescent="0.2">
      <c r="A1014" s="24" t="s">
        <v>2397</v>
      </c>
      <c r="B1014" s="24" t="s">
        <v>1689</v>
      </c>
    </row>
    <row r="1015" spans="1:2" hidden="1" x14ac:dyDescent="0.2">
      <c r="A1015" s="24" t="s">
        <v>1690</v>
      </c>
      <c r="B1015" s="24" t="s">
        <v>174</v>
      </c>
    </row>
    <row r="1016" spans="1:2" hidden="1" x14ac:dyDescent="0.2">
      <c r="A1016" s="24" t="s">
        <v>175</v>
      </c>
      <c r="B1016" s="24" t="s">
        <v>176</v>
      </c>
    </row>
    <row r="1017" spans="1:2" hidden="1" x14ac:dyDescent="0.2">
      <c r="A1017" s="24" t="s">
        <v>177</v>
      </c>
      <c r="B1017" s="24" t="s">
        <v>2264</v>
      </c>
    </row>
    <row r="1018" spans="1:2" hidden="1" x14ac:dyDescent="0.2">
      <c r="A1018" s="24" t="s">
        <v>178</v>
      </c>
      <c r="B1018" s="24" t="s">
        <v>2265</v>
      </c>
    </row>
    <row r="1019" spans="1:2" hidden="1" x14ac:dyDescent="0.2">
      <c r="A1019" s="24" t="s">
        <v>179</v>
      </c>
      <c r="B1019" s="24" t="s">
        <v>2445</v>
      </c>
    </row>
    <row r="1020" spans="1:2" hidden="1" x14ac:dyDescent="0.2">
      <c r="A1020" s="24" t="s">
        <v>2446</v>
      </c>
      <c r="B1020" s="24" t="s">
        <v>2266</v>
      </c>
    </row>
    <row r="1021" spans="1:2" hidden="1" x14ac:dyDescent="0.2">
      <c r="A1021" s="24" t="s">
        <v>2447</v>
      </c>
      <c r="B1021" s="24" t="s">
        <v>2285</v>
      </c>
    </row>
    <row r="1022" spans="1:2" hidden="1" x14ac:dyDescent="0.2">
      <c r="A1022" s="24" t="s">
        <v>2286</v>
      </c>
      <c r="B1022" s="24" t="s">
        <v>2287</v>
      </c>
    </row>
    <row r="1023" spans="1:2" hidden="1" x14ac:dyDescent="0.2">
      <c r="A1023" s="24" t="s">
        <v>2288</v>
      </c>
      <c r="B1023" s="24" t="s">
        <v>2337</v>
      </c>
    </row>
    <row r="1024" spans="1:2" hidden="1" x14ac:dyDescent="0.2">
      <c r="A1024" s="24" t="s">
        <v>2338</v>
      </c>
      <c r="B1024" s="24" t="s">
        <v>2339</v>
      </c>
    </row>
    <row r="1025" spans="1:2" hidden="1" x14ac:dyDescent="0.2">
      <c r="A1025" s="24" t="s">
        <v>2340</v>
      </c>
      <c r="B1025" s="24" t="s">
        <v>2341</v>
      </c>
    </row>
    <row r="1026" spans="1:2" hidden="1" x14ac:dyDescent="0.2">
      <c r="A1026" s="24" t="s">
        <v>2342</v>
      </c>
      <c r="B1026" s="24" t="s">
        <v>2267</v>
      </c>
    </row>
    <row r="1027" spans="1:2" hidden="1" x14ac:dyDescent="0.2">
      <c r="A1027" s="24" t="s">
        <v>2343</v>
      </c>
      <c r="B1027" s="24" t="s">
        <v>2344</v>
      </c>
    </row>
    <row r="1028" spans="1:2" hidden="1" x14ac:dyDescent="0.2">
      <c r="A1028" s="24" t="s">
        <v>2345</v>
      </c>
      <c r="B1028" s="24" t="s">
        <v>2346</v>
      </c>
    </row>
    <row r="1029" spans="1:2" hidden="1" x14ac:dyDescent="0.2">
      <c r="A1029" s="24" t="s">
        <v>2347</v>
      </c>
      <c r="B1029" s="24" t="s">
        <v>2268</v>
      </c>
    </row>
    <row r="1030" spans="1:2" hidden="1" x14ac:dyDescent="0.2">
      <c r="A1030" s="24" t="s">
        <v>2348</v>
      </c>
      <c r="B1030" s="24" t="s">
        <v>2349</v>
      </c>
    </row>
    <row r="1031" spans="1:2" hidden="1" x14ac:dyDescent="0.2">
      <c r="A1031" s="24" t="s">
        <v>2350</v>
      </c>
      <c r="B1031" s="24" t="s">
        <v>2351</v>
      </c>
    </row>
    <row r="1032" spans="1:2" hidden="1" x14ac:dyDescent="0.2">
      <c r="A1032" s="24" t="s">
        <v>2352</v>
      </c>
      <c r="B1032" s="24" t="s">
        <v>1467</v>
      </c>
    </row>
    <row r="1033" spans="1:2" hidden="1" x14ac:dyDescent="0.2">
      <c r="A1033" s="24" t="s">
        <v>1468</v>
      </c>
      <c r="B1033" s="24" t="s">
        <v>1469</v>
      </c>
    </row>
    <row r="1034" spans="1:2" hidden="1" x14ac:dyDescent="0.2">
      <c r="A1034" s="24" t="s">
        <v>1470</v>
      </c>
      <c r="B1034" s="24" t="s">
        <v>1471</v>
      </c>
    </row>
    <row r="1035" spans="1:2" hidden="1" x14ac:dyDescent="0.2">
      <c r="A1035" s="24" t="s">
        <v>1472</v>
      </c>
      <c r="B1035" s="24" t="s">
        <v>1473</v>
      </c>
    </row>
    <row r="1036" spans="1:2" hidden="1" x14ac:dyDescent="0.2">
      <c r="A1036" s="24" t="s">
        <v>1474</v>
      </c>
      <c r="B1036" s="24" t="s">
        <v>1475</v>
      </c>
    </row>
    <row r="1037" spans="1:2" hidden="1" x14ac:dyDescent="0.2">
      <c r="A1037" s="24" t="s">
        <v>1476</v>
      </c>
      <c r="B1037" s="24" t="s">
        <v>2269</v>
      </c>
    </row>
    <row r="1038" spans="1:2" hidden="1" x14ac:dyDescent="0.2">
      <c r="A1038" s="24" t="s">
        <v>1477</v>
      </c>
      <c r="B1038" s="24" t="s">
        <v>649</v>
      </c>
    </row>
    <row r="1039" spans="1:2" hidden="1" x14ac:dyDescent="0.2">
      <c r="A1039" s="24" t="s">
        <v>650</v>
      </c>
      <c r="B1039" s="24" t="s">
        <v>651</v>
      </c>
    </row>
    <row r="1040" spans="1:2" hidden="1" x14ac:dyDescent="0.2">
      <c r="A1040" s="24" t="s">
        <v>652</v>
      </c>
      <c r="B1040" s="24" t="s">
        <v>653</v>
      </c>
    </row>
    <row r="1041" spans="1:2" hidden="1" x14ac:dyDescent="0.2">
      <c r="A1041" s="24" t="s">
        <v>654</v>
      </c>
      <c r="B1041" s="24" t="s">
        <v>747</v>
      </c>
    </row>
    <row r="1042" spans="1:2" hidden="1" x14ac:dyDescent="0.2">
      <c r="A1042" s="24" t="s">
        <v>655</v>
      </c>
      <c r="B1042" s="24" t="s">
        <v>656</v>
      </c>
    </row>
    <row r="1043" spans="1:2" hidden="1" x14ac:dyDescent="0.2">
      <c r="A1043" s="24" t="s">
        <v>657</v>
      </c>
      <c r="B1043" s="24" t="s">
        <v>658</v>
      </c>
    </row>
    <row r="1044" spans="1:2" hidden="1" x14ac:dyDescent="0.2">
      <c r="A1044" s="24" t="s">
        <v>659</v>
      </c>
      <c r="B1044" s="24" t="s">
        <v>310</v>
      </c>
    </row>
    <row r="1045" spans="1:2" hidden="1" x14ac:dyDescent="0.2">
      <c r="A1045" s="24" t="s">
        <v>660</v>
      </c>
      <c r="B1045" s="24" t="s">
        <v>942</v>
      </c>
    </row>
    <row r="1046" spans="1:2" hidden="1" x14ac:dyDescent="0.2">
      <c r="A1046" s="24" t="s">
        <v>943</v>
      </c>
      <c r="B1046" s="24" t="s">
        <v>311</v>
      </c>
    </row>
    <row r="1047" spans="1:2" hidden="1" x14ac:dyDescent="0.2">
      <c r="A1047" s="24" t="s">
        <v>944</v>
      </c>
      <c r="B1047" s="24" t="s">
        <v>2323</v>
      </c>
    </row>
    <row r="1048" spans="1:2" hidden="1" x14ac:dyDescent="0.2">
      <c r="A1048" s="24" t="s">
        <v>2324</v>
      </c>
      <c r="B1048" s="24" t="s">
        <v>2325</v>
      </c>
    </row>
    <row r="1049" spans="1:2" hidden="1" x14ac:dyDescent="0.2">
      <c r="A1049" s="24" t="s">
        <v>2326</v>
      </c>
      <c r="B1049" s="24" t="s">
        <v>312</v>
      </c>
    </row>
    <row r="1050" spans="1:2" hidden="1" x14ac:dyDescent="0.2">
      <c r="A1050" s="24" t="s">
        <v>2327</v>
      </c>
      <c r="B1050" s="24" t="s">
        <v>945</v>
      </c>
    </row>
    <row r="1051" spans="1:2" hidden="1" x14ac:dyDescent="0.2">
      <c r="A1051" s="24" t="s">
        <v>946</v>
      </c>
      <c r="B1051" s="24" t="s">
        <v>313</v>
      </c>
    </row>
    <row r="1052" spans="1:2" hidden="1" x14ac:dyDescent="0.2">
      <c r="A1052" s="24" t="s">
        <v>607</v>
      </c>
      <c r="B1052" s="24" t="s">
        <v>608</v>
      </c>
    </row>
    <row r="1053" spans="1:2" hidden="1" x14ac:dyDescent="0.2">
      <c r="A1053" s="24" t="s">
        <v>609</v>
      </c>
      <c r="B1053" s="24" t="s">
        <v>610</v>
      </c>
    </row>
    <row r="1054" spans="1:2" hidden="1" x14ac:dyDescent="0.2">
      <c r="A1054" s="24" t="s">
        <v>2698</v>
      </c>
      <c r="B1054" s="24" t="s">
        <v>2699</v>
      </c>
    </row>
    <row r="1055" spans="1:2" hidden="1" x14ac:dyDescent="0.2">
      <c r="A1055" s="24" t="s">
        <v>2700</v>
      </c>
      <c r="B1055" s="24" t="s">
        <v>2701</v>
      </c>
    </row>
    <row r="1056" spans="1:2" hidden="1" x14ac:dyDescent="0.2">
      <c r="A1056" s="24" t="s">
        <v>2702</v>
      </c>
      <c r="B1056" s="24" t="s">
        <v>2703</v>
      </c>
    </row>
    <row r="1057" spans="1:2" hidden="1" x14ac:dyDescent="0.2">
      <c r="A1057" s="24" t="s">
        <v>2704</v>
      </c>
      <c r="B1057" s="24" t="s">
        <v>2705</v>
      </c>
    </row>
    <row r="1058" spans="1:2" hidden="1" x14ac:dyDescent="0.2">
      <c r="A1058" s="24" t="s">
        <v>2706</v>
      </c>
      <c r="B1058" s="24" t="s">
        <v>2707</v>
      </c>
    </row>
    <row r="1059" spans="1:2" hidden="1" x14ac:dyDescent="0.2">
      <c r="A1059" s="24" t="s">
        <v>2708</v>
      </c>
      <c r="B1059" s="24" t="s">
        <v>314</v>
      </c>
    </row>
    <row r="1060" spans="1:2" hidden="1" x14ac:dyDescent="0.2">
      <c r="A1060" s="24" t="s">
        <v>2709</v>
      </c>
      <c r="B1060" s="24" t="s">
        <v>905</v>
      </c>
    </row>
    <row r="1061" spans="1:2" hidden="1" x14ac:dyDescent="0.2">
      <c r="A1061" s="24" t="s">
        <v>590</v>
      </c>
      <c r="B1061" s="24" t="s">
        <v>1943</v>
      </c>
    </row>
    <row r="1062" spans="1:2" hidden="1" x14ac:dyDescent="0.2">
      <c r="A1062" s="24" t="s">
        <v>1944</v>
      </c>
      <c r="B1062" s="24" t="s">
        <v>1945</v>
      </c>
    </row>
    <row r="1063" spans="1:2" hidden="1" x14ac:dyDescent="0.2">
      <c r="A1063" s="24" t="s">
        <v>1946</v>
      </c>
      <c r="B1063" s="24" t="s">
        <v>906</v>
      </c>
    </row>
    <row r="1064" spans="1:2" hidden="1" x14ac:dyDescent="0.2">
      <c r="A1064" s="24" t="s">
        <v>1947</v>
      </c>
      <c r="B1064" s="24" t="s">
        <v>907</v>
      </c>
    </row>
    <row r="1065" spans="1:2" hidden="1" x14ac:dyDescent="0.2">
      <c r="A1065" s="24" t="s">
        <v>1948</v>
      </c>
      <c r="B1065" s="24" t="s">
        <v>908</v>
      </c>
    </row>
    <row r="1066" spans="1:2" hidden="1" x14ac:dyDescent="0.2">
      <c r="A1066" s="24" t="s">
        <v>1949</v>
      </c>
      <c r="B1066" s="24" t="s">
        <v>909</v>
      </c>
    </row>
    <row r="1067" spans="1:2" hidden="1" x14ac:dyDescent="0.2">
      <c r="A1067" s="24" t="s">
        <v>2688</v>
      </c>
      <c r="B1067" s="24" t="s">
        <v>910</v>
      </c>
    </row>
    <row r="1068" spans="1:2" hidden="1" x14ac:dyDescent="0.2">
      <c r="A1068" s="24" t="s">
        <v>2689</v>
      </c>
      <c r="B1068" s="24" t="s">
        <v>911</v>
      </c>
    </row>
    <row r="1069" spans="1:2" hidden="1" x14ac:dyDescent="0.2">
      <c r="A1069" s="24" t="s">
        <v>2690</v>
      </c>
      <c r="B1069" s="24" t="s">
        <v>2113</v>
      </c>
    </row>
    <row r="1070" spans="1:2" hidden="1" x14ac:dyDescent="0.2">
      <c r="A1070" s="24" t="s">
        <v>762</v>
      </c>
      <c r="B1070" s="24" t="s">
        <v>2114</v>
      </c>
    </row>
    <row r="1071" spans="1:2" hidden="1" x14ac:dyDescent="0.2">
      <c r="A1071" s="24" t="s">
        <v>763</v>
      </c>
      <c r="B1071" s="24" t="s">
        <v>2115</v>
      </c>
    </row>
    <row r="1072" spans="1:2" hidden="1" x14ac:dyDescent="0.2">
      <c r="A1072" s="24" t="s">
        <v>1519</v>
      </c>
      <c r="B1072" s="24" t="s">
        <v>2116</v>
      </c>
    </row>
    <row r="1073" spans="1:2" hidden="1" x14ac:dyDescent="0.2">
      <c r="A1073" s="24" t="s">
        <v>188</v>
      </c>
      <c r="B1073" s="24" t="s">
        <v>2117</v>
      </c>
    </row>
    <row r="1074" spans="1:2" hidden="1" x14ac:dyDescent="0.2">
      <c r="A1074" s="24" t="s">
        <v>189</v>
      </c>
      <c r="B1074" s="24" t="s">
        <v>2118</v>
      </c>
    </row>
    <row r="1075" spans="1:2" hidden="1" x14ac:dyDescent="0.2">
      <c r="A1075" s="24" t="s">
        <v>190</v>
      </c>
      <c r="B1075" s="24" t="s">
        <v>536</v>
      </c>
    </row>
    <row r="1076" spans="1:2" hidden="1" x14ac:dyDescent="0.2">
      <c r="A1076" s="24" t="s">
        <v>191</v>
      </c>
      <c r="B1076" s="24" t="s">
        <v>458</v>
      </c>
    </row>
    <row r="1077" spans="1:2" hidden="1" x14ac:dyDescent="0.2">
      <c r="A1077" s="24" t="s">
        <v>459</v>
      </c>
      <c r="B1077" s="24" t="s">
        <v>460</v>
      </c>
    </row>
    <row r="1078" spans="1:2" hidden="1" x14ac:dyDescent="0.2">
      <c r="A1078" s="24" t="s">
        <v>461</v>
      </c>
      <c r="B1078" s="24" t="s">
        <v>537</v>
      </c>
    </row>
    <row r="1079" spans="1:2" hidden="1" x14ac:dyDescent="0.2">
      <c r="A1079" s="24" t="s">
        <v>462</v>
      </c>
      <c r="B1079" s="24" t="s">
        <v>463</v>
      </c>
    </row>
    <row r="1080" spans="1:2" hidden="1" x14ac:dyDescent="0.2">
      <c r="A1080" s="24" t="s">
        <v>464</v>
      </c>
      <c r="B1080" s="24" t="s">
        <v>538</v>
      </c>
    </row>
    <row r="1081" spans="1:2" hidden="1" x14ac:dyDescent="0.2">
      <c r="A1081" s="24" t="s">
        <v>465</v>
      </c>
      <c r="B1081" s="24" t="s">
        <v>539</v>
      </c>
    </row>
    <row r="1082" spans="1:2" hidden="1" x14ac:dyDescent="0.2">
      <c r="A1082" s="24" t="s">
        <v>284</v>
      </c>
      <c r="B1082" s="24" t="s">
        <v>285</v>
      </c>
    </row>
    <row r="1083" spans="1:2" hidden="1" x14ac:dyDescent="0.2">
      <c r="A1083" s="24" t="s">
        <v>286</v>
      </c>
      <c r="B1083" s="24" t="s">
        <v>287</v>
      </c>
    </row>
    <row r="1084" spans="1:2" hidden="1" x14ac:dyDescent="0.2">
      <c r="A1084" s="24" t="s">
        <v>288</v>
      </c>
      <c r="B1084" s="24" t="s">
        <v>540</v>
      </c>
    </row>
    <row r="1085" spans="1:2" hidden="1" x14ac:dyDescent="0.2">
      <c r="A1085" s="24" t="s">
        <v>289</v>
      </c>
      <c r="B1085" s="24" t="s">
        <v>541</v>
      </c>
    </row>
    <row r="1086" spans="1:2" hidden="1" x14ac:dyDescent="0.2">
      <c r="A1086" s="24" t="s">
        <v>290</v>
      </c>
      <c r="B1086" s="24" t="s">
        <v>542</v>
      </c>
    </row>
    <row r="1087" spans="1:2" hidden="1" x14ac:dyDescent="0.2">
      <c r="A1087" s="24" t="s">
        <v>291</v>
      </c>
      <c r="B1087" s="24" t="s">
        <v>543</v>
      </c>
    </row>
    <row r="1088" spans="1:2" hidden="1" x14ac:dyDescent="0.2">
      <c r="A1088" s="24" t="s">
        <v>761</v>
      </c>
      <c r="B1088" s="24" t="s">
        <v>2040</v>
      </c>
    </row>
    <row r="1089" spans="1:2" hidden="1" x14ac:dyDescent="0.2">
      <c r="A1089" s="24" t="s">
        <v>2041</v>
      </c>
      <c r="B1089" s="24" t="s">
        <v>2042</v>
      </c>
    </row>
    <row r="1090" spans="1:2" hidden="1" x14ac:dyDescent="0.2">
      <c r="A1090" s="24" t="s">
        <v>2043</v>
      </c>
      <c r="B1090" s="24" t="s">
        <v>544</v>
      </c>
    </row>
    <row r="1091" spans="1:2" hidden="1" x14ac:dyDescent="0.2">
      <c r="A1091" s="24" t="s">
        <v>2044</v>
      </c>
      <c r="B1091" s="24" t="s">
        <v>545</v>
      </c>
    </row>
    <row r="1092" spans="1:2" hidden="1" x14ac:dyDescent="0.2">
      <c r="A1092" s="24" t="s">
        <v>2045</v>
      </c>
      <c r="B1092" s="24" t="s">
        <v>546</v>
      </c>
    </row>
    <row r="1093" spans="1:2" hidden="1" x14ac:dyDescent="0.2">
      <c r="A1093" s="24" t="s">
        <v>2046</v>
      </c>
      <c r="B1093" s="24" t="s">
        <v>547</v>
      </c>
    </row>
    <row r="1094" spans="1:2" hidden="1" x14ac:dyDescent="0.2">
      <c r="A1094" s="24" t="s">
        <v>1869</v>
      </c>
      <c r="B1094" s="24" t="s">
        <v>548</v>
      </c>
    </row>
    <row r="1095" spans="1:2" hidden="1" x14ac:dyDescent="0.2">
      <c r="A1095" s="24" t="s">
        <v>1870</v>
      </c>
      <c r="B1095" s="24" t="s">
        <v>1871</v>
      </c>
    </row>
    <row r="1096" spans="1:2" hidden="1" x14ac:dyDescent="0.2">
      <c r="A1096" s="24" t="s">
        <v>1872</v>
      </c>
      <c r="B1096" s="24" t="s">
        <v>1425</v>
      </c>
    </row>
    <row r="1097" spans="1:2" hidden="1" x14ac:dyDescent="0.2">
      <c r="A1097" s="24" t="s">
        <v>1873</v>
      </c>
      <c r="B1097" s="24" t="s">
        <v>1426</v>
      </c>
    </row>
    <row r="1098" spans="1:2" hidden="1" x14ac:dyDescent="0.2">
      <c r="A1098" s="24" t="s">
        <v>1874</v>
      </c>
      <c r="B1098" s="24" t="s">
        <v>1427</v>
      </c>
    </row>
    <row r="1099" spans="1:2" hidden="1" x14ac:dyDescent="0.2">
      <c r="A1099" s="24" t="s">
        <v>1570</v>
      </c>
      <c r="B1099" s="24" t="s">
        <v>1428</v>
      </c>
    </row>
    <row r="1100" spans="1:2" hidden="1" x14ac:dyDescent="0.2">
      <c r="A1100" s="24" t="s">
        <v>1514</v>
      </c>
      <c r="B1100" s="24" t="s">
        <v>2667</v>
      </c>
    </row>
    <row r="1101" spans="1:2" hidden="1" x14ac:dyDescent="0.2">
      <c r="A1101" s="24" t="s">
        <v>2668</v>
      </c>
      <c r="B1101" s="24" t="s">
        <v>1429</v>
      </c>
    </row>
    <row r="1102" spans="1:2" hidden="1" x14ac:dyDescent="0.2">
      <c r="A1102" s="24" t="s">
        <v>2669</v>
      </c>
      <c r="B1102" s="24" t="s">
        <v>1430</v>
      </c>
    </row>
    <row r="1103" spans="1:2" hidden="1" x14ac:dyDescent="0.2">
      <c r="A1103" s="24" t="s">
        <v>933</v>
      </c>
      <c r="B1103" s="24" t="s">
        <v>934</v>
      </c>
    </row>
    <row r="1104" spans="1:2" hidden="1" x14ac:dyDescent="0.2">
      <c r="A1104" s="24" t="s">
        <v>935</v>
      </c>
      <c r="B1104" s="24" t="s">
        <v>1431</v>
      </c>
    </row>
    <row r="1105" spans="1:2" hidden="1" x14ac:dyDescent="0.2">
      <c r="A1105" s="24" t="s">
        <v>936</v>
      </c>
      <c r="B1105" s="24" t="s">
        <v>1432</v>
      </c>
    </row>
    <row r="1106" spans="1:2" hidden="1" x14ac:dyDescent="0.2">
      <c r="A1106" s="24" t="s">
        <v>937</v>
      </c>
      <c r="B1106" s="24" t="s">
        <v>1433</v>
      </c>
    </row>
    <row r="1107" spans="1:2" hidden="1" x14ac:dyDescent="0.2">
      <c r="A1107" s="24" t="s">
        <v>938</v>
      </c>
      <c r="B1107" s="24" t="s">
        <v>1434</v>
      </c>
    </row>
    <row r="1108" spans="1:2" hidden="1" x14ac:dyDescent="0.2">
      <c r="A1108" s="24" t="s">
        <v>939</v>
      </c>
      <c r="B1108" s="24" t="s">
        <v>1435</v>
      </c>
    </row>
    <row r="1109" spans="1:2" hidden="1" x14ac:dyDescent="0.2">
      <c r="A1109" s="24" t="s">
        <v>940</v>
      </c>
      <c r="B1109" s="24" t="s">
        <v>1436</v>
      </c>
    </row>
    <row r="1110" spans="1:2" hidden="1" x14ac:dyDescent="0.2">
      <c r="A1110" s="24" t="s">
        <v>2194</v>
      </c>
      <c r="B1110" s="24" t="s">
        <v>2195</v>
      </c>
    </row>
    <row r="1111" spans="1:2" hidden="1" x14ac:dyDescent="0.2">
      <c r="A1111" s="24" t="s">
        <v>2196</v>
      </c>
      <c r="B1111" s="24" t="s">
        <v>1437</v>
      </c>
    </row>
    <row r="1112" spans="1:2" hidden="1" x14ac:dyDescent="0.2">
      <c r="A1112" s="24" t="s">
        <v>2197</v>
      </c>
      <c r="B1112" s="24" t="s">
        <v>2198</v>
      </c>
    </row>
    <row r="1113" spans="1:2" hidden="1" x14ac:dyDescent="0.2">
      <c r="A1113" s="24" t="s">
        <v>2199</v>
      </c>
      <c r="B1113" s="24" t="s">
        <v>568</v>
      </c>
    </row>
    <row r="1114" spans="1:2" hidden="1" x14ac:dyDescent="0.2">
      <c r="A1114" s="24" t="s">
        <v>569</v>
      </c>
      <c r="B1114" s="24" t="s">
        <v>1438</v>
      </c>
    </row>
    <row r="1115" spans="1:2" hidden="1" x14ac:dyDescent="0.2">
      <c r="A1115" s="24" t="s">
        <v>570</v>
      </c>
      <c r="B1115" s="24" t="s">
        <v>1439</v>
      </c>
    </row>
    <row r="1116" spans="1:2" hidden="1" x14ac:dyDescent="0.2">
      <c r="A1116" s="24" t="s">
        <v>571</v>
      </c>
      <c r="B1116" s="24" t="s">
        <v>1440</v>
      </c>
    </row>
    <row r="1117" spans="1:2" hidden="1" x14ac:dyDescent="0.2">
      <c r="A1117" s="24" t="s">
        <v>78</v>
      </c>
      <c r="B1117" s="24" t="s">
        <v>1441</v>
      </c>
    </row>
    <row r="1118" spans="1:2" hidden="1" x14ac:dyDescent="0.2">
      <c r="A1118" s="24" t="s">
        <v>79</v>
      </c>
      <c r="B1118" s="24" t="s">
        <v>1442</v>
      </c>
    </row>
    <row r="1119" spans="1:2" hidden="1" x14ac:dyDescent="0.2">
      <c r="A1119" s="24" t="s">
        <v>318</v>
      </c>
      <c r="B1119" s="24" t="s">
        <v>1443</v>
      </c>
    </row>
    <row r="1120" spans="1:2" hidden="1" x14ac:dyDescent="0.2">
      <c r="A1120" s="24" t="s">
        <v>302</v>
      </c>
      <c r="B1120" s="24" t="s">
        <v>1444</v>
      </c>
    </row>
    <row r="1121" spans="1:2" hidden="1" x14ac:dyDescent="0.2">
      <c r="A1121" s="24" t="s">
        <v>266</v>
      </c>
      <c r="B1121" s="24" t="s">
        <v>1445</v>
      </c>
    </row>
    <row r="1122" spans="1:2" hidden="1" x14ac:dyDescent="0.2">
      <c r="A1122" s="24" t="s">
        <v>267</v>
      </c>
      <c r="B1122" s="24" t="s">
        <v>1446</v>
      </c>
    </row>
    <row r="1123" spans="1:2" hidden="1" x14ac:dyDescent="0.2">
      <c r="A1123" s="24" t="s">
        <v>268</v>
      </c>
      <c r="B1123" s="24" t="s">
        <v>1447</v>
      </c>
    </row>
    <row r="1124" spans="1:2" hidden="1" x14ac:dyDescent="0.2">
      <c r="A1124" s="24" t="s">
        <v>269</v>
      </c>
      <c r="B1124" s="24" t="s">
        <v>2607</v>
      </c>
    </row>
    <row r="1125" spans="1:2" hidden="1" x14ac:dyDescent="0.2">
      <c r="A1125" s="24" t="s">
        <v>270</v>
      </c>
      <c r="B1125" s="24" t="s">
        <v>2608</v>
      </c>
    </row>
    <row r="1126" spans="1:2" hidden="1" x14ac:dyDescent="0.2">
      <c r="A1126" s="24" t="s">
        <v>271</v>
      </c>
      <c r="B1126" s="24" t="s">
        <v>691</v>
      </c>
    </row>
    <row r="1127" spans="1:2" hidden="1" x14ac:dyDescent="0.2">
      <c r="A1127" s="24" t="s">
        <v>272</v>
      </c>
      <c r="B1127" s="24" t="s">
        <v>692</v>
      </c>
    </row>
    <row r="1128" spans="1:2" hidden="1" x14ac:dyDescent="0.2">
      <c r="A1128" s="24" t="s">
        <v>1876</v>
      </c>
      <c r="B1128" s="24" t="s">
        <v>693</v>
      </c>
    </row>
    <row r="1129" spans="1:2" hidden="1" x14ac:dyDescent="0.2">
      <c r="A1129" s="24" t="s">
        <v>1877</v>
      </c>
      <c r="B1129" s="24" t="s">
        <v>694</v>
      </c>
    </row>
    <row r="1130" spans="1:2" hidden="1" x14ac:dyDescent="0.2">
      <c r="A1130" s="24" t="s">
        <v>2211</v>
      </c>
      <c r="B1130" s="24" t="s">
        <v>2907</v>
      </c>
    </row>
    <row r="1131" spans="1:2" hidden="1" x14ac:dyDescent="0.2">
      <c r="A1131" s="24" t="s">
        <v>2638</v>
      </c>
      <c r="B1131" s="24" t="s">
        <v>2908</v>
      </c>
    </row>
    <row r="1132" spans="1:2" hidden="1" x14ac:dyDescent="0.2">
      <c r="A1132" s="24" t="s">
        <v>1293</v>
      </c>
      <c r="B1132" s="24" t="s">
        <v>2909</v>
      </c>
    </row>
    <row r="1133" spans="1:2" hidden="1" x14ac:dyDescent="0.2">
      <c r="A1133" s="24" t="s">
        <v>1294</v>
      </c>
      <c r="B1133" s="24" t="s">
        <v>2910</v>
      </c>
    </row>
    <row r="1134" spans="1:2" hidden="1" x14ac:dyDescent="0.2">
      <c r="A1134" s="24" t="s">
        <v>2644</v>
      </c>
      <c r="B1134" s="24" t="s">
        <v>304</v>
      </c>
    </row>
    <row r="1135" spans="1:2" hidden="1" x14ac:dyDescent="0.2">
      <c r="A1135" s="24" t="s">
        <v>1507</v>
      </c>
      <c r="B1135" s="24" t="s">
        <v>305</v>
      </c>
    </row>
    <row r="1136" spans="1:2" hidden="1" x14ac:dyDescent="0.2">
      <c r="A1136" s="24" t="s">
        <v>1508</v>
      </c>
      <c r="B1136" s="24" t="s">
        <v>306</v>
      </c>
    </row>
    <row r="1137" spans="1:2" hidden="1" x14ac:dyDescent="0.2">
      <c r="A1137" s="24" t="s">
        <v>427</v>
      </c>
      <c r="B1137" s="24" t="s">
        <v>2915</v>
      </c>
    </row>
    <row r="1138" spans="1:2" hidden="1" x14ac:dyDescent="0.2">
      <c r="A1138" s="24" t="s">
        <v>428</v>
      </c>
      <c r="B1138" s="24" t="s">
        <v>2916</v>
      </c>
    </row>
    <row r="1139" spans="1:2" hidden="1" x14ac:dyDescent="0.2">
      <c r="A1139" s="24" t="s">
        <v>429</v>
      </c>
      <c r="B1139" s="24" t="s">
        <v>430</v>
      </c>
    </row>
    <row r="1140" spans="1:2" hidden="1" x14ac:dyDescent="0.2">
      <c r="A1140" s="24" t="s">
        <v>431</v>
      </c>
      <c r="B1140" s="24" t="s">
        <v>2917</v>
      </c>
    </row>
    <row r="1141" spans="1:2" hidden="1" x14ac:dyDescent="0.2">
      <c r="A1141" s="24" t="s">
        <v>2190</v>
      </c>
      <c r="B1141" s="24" t="s">
        <v>2918</v>
      </c>
    </row>
    <row r="1142" spans="1:2" hidden="1" x14ac:dyDescent="0.2">
      <c r="A1142" s="24" t="s">
        <v>2191</v>
      </c>
      <c r="B1142" s="24" t="s">
        <v>2919</v>
      </c>
    </row>
    <row r="1143" spans="1:2" hidden="1" x14ac:dyDescent="0.2">
      <c r="A1143" s="24" t="s">
        <v>1307</v>
      </c>
      <c r="B1143" s="24" t="s">
        <v>2920</v>
      </c>
    </row>
    <row r="1144" spans="1:2" hidden="1" x14ac:dyDescent="0.2">
      <c r="A1144" s="24" t="s">
        <v>1308</v>
      </c>
      <c r="B1144" s="24" t="s">
        <v>2921</v>
      </c>
    </row>
    <row r="1145" spans="1:2" hidden="1" x14ac:dyDescent="0.2">
      <c r="A1145" s="24" t="s">
        <v>1309</v>
      </c>
      <c r="B1145" s="24" t="s">
        <v>2428</v>
      </c>
    </row>
    <row r="1146" spans="1:2" hidden="1" x14ac:dyDescent="0.2">
      <c r="A1146" s="24" t="s">
        <v>1310</v>
      </c>
      <c r="B1146" s="24" t="s">
        <v>2429</v>
      </c>
    </row>
    <row r="1147" spans="1:2" hidden="1" x14ac:dyDescent="0.2">
      <c r="A1147" s="24" t="s">
        <v>1311</v>
      </c>
      <c r="B1147" s="24" t="s">
        <v>2430</v>
      </c>
    </row>
    <row r="1148" spans="1:2" hidden="1" x14ac:dyDescent="0.2">
      <c r="A1148" s="24" t="s">
        <v>96</v>
      </c>
      <c r="B1148" s="24" t="s">
        <v>2431</v>
      </c>
    </row>
    <row r="1149" spans="1:2" hidden="1" x14ac:dyDescent="0.2">
      <c r="A1149" s="24" t="s">
        <v>97</v>
      </c>
      <c r="B1149" s="24" t="s">
        <v>2432</v>
      </c>
    </row>
    <row r="1150" spans="1:2" hidden="1" x14ac:dyDescent="0.2">
      <c r="A1150" s="24" t="s">
        <v>98</v>
      </c>
      <c r="B1150" s="24" t="s">
        <v>2433</v>
      </c>
    </row>
    <row r="1151" spans="1:2" hidden="1" x14ac:dyDescent="0.2">
      <c r="A1151" s="24" t="s">
        <v>99</v>
      </c>
      <c r="B1151" s="24" t="s">
        <v>2434</v>
      </c>
    </row>
    <row r="1152" spans="1:2" hidden="1" x14ac:dyDescent="0.2">
      <c r="A1152" s="24" t="s">
        <v>100</v>
      </c>
      <c r="B1152" s="24" t="s">
        <v>1588</v>
      </c>
    </row>
    <row r="1153" spans="1:2" hidden="1" x14ac:dyDescent="0.2">
      <c r="A1153" s="24" t="s">
        <v>1589</v>
      </c>
      <c r="B1153" s="24" t="s">
        <v>2435</v>
      </c>
    </row>
    <row r="1154" spans="1:2" hidden="1" x14ac:dyDescent="0.2">
      <c r="A1154" s="24" t="s">
        <v>1590</v>
      </c>
      <c r="B1154" s="24" t="s">
        <v>1591</v>
      </c>
    </row>
    <row r="1155" spans="1:2" hidden="1" x14ac:dyDescent="0.2">
      <c r="A1155" s="24" t="s">
        <v>1592</v>
      </c>
      <c r="B1155" s="24" t="s">
        <v>1593</v>
      </c>
    </row>
    <row r="1156" spans="1:2" hidden="1" x14ac:dyDescent="0.2">
      <c r="A1156" s="24" t="s">
        <v>1594</v>
      </c>
      <c r="B1156" s="24" t="s">
        <v>1595</v>
      </c>
    </row>
    <row r="1157" spans="1:2" hidden="1" x14ac:dyDescent="0.2">
      <c r="A1157" s="24" t="s">
        <v>1596</v>
      </c>
      <c r="B1157" s="24" t="s">
        <v>1597</v>
      </c>
    </row>
    <row r="1158" spans="1:2" hidden="1" x14ac:dyDescent="0.2">
      <c r="A1158" s="24" t="s">
        <v>1598</v>
      </c>
      <c r="B1158" s="24" t="s">
        <v>130</v>
      </c>
    </row>
    <row r="1159" spans="1:2" hidden="1" x14ac:dyDescent="0.2">
      <c r="A1159" s="24" t="s">
        <v>131</v>
      </c>
      <c r="B1159" s="24" t="s">
        <v>132</v>
      </c>
    </row>
    <row r="1160" spans="1:2" hidden="1" x14ac:dyDescent="0.2">
      <c r="A1160" s="24" t="s">
        <v>133</v>
      </c>
      <c r="B1160" s="24" t="s">
        <v>134</v>
      </c>
    </row>
    <row r="1161" spans="1:2" hidden="1" x14ac:dyDescent="0.2">
      <c r="A1161" s="24" t="s">
        <v>135</v>
      </c>
      <c r="B1161" s="24" t="s">
        <v>2436</v>
      </c>
    </row>
    <row r="1162" spans="1:2" hidden="1" x14ac:dyDescent="0.2">
      <c r="A1162" s="24" t="s">
        <v>136</v>
      </c>
      <c r="B1162" s="24" t="s">
        <v>1955</v>
      </c>
    </row>
    <row r="1163" spans="1:2" hidden="1" x14ac:dyDescent="0.2">
      <c r="A1163" s="24" t="s">
        <v>471</v>
      </c>
      <c r="B1163" s="24" t="s">
        <v>472</v>
      </c>
    </row>
    <row r="1164" spans="1:2" hidden="1" x14ac:dyDescent="0.2">
      <c r="A1164" s="24" t="s">
        <v>473</v>
      </c>
      <c r="B1164" s="24" t="s">
        <v>474</v>
      </c>
    </row>
    <row r="1165" spans="1:2" hidden="1" x14ac:dyDescent="0.2">
      <c r="A1165" s="24" t="s">
        <v>475</v>
      </c>
      <c r="B1165" s="24" t="s">
        <v>476</v>
      </c>
    </row>
    <row r="1166" spans="1:2" hidden="1" x14ac:dyDescent="0.2">
      <c r="A1166" s="24" t="s">
        <v>477</v>
      </c>
      <c r="B1166" s="24" t="s">
        <v>478</v>
      </c>
    </row>
    <row r="1167" spans="1:2" hidden="1" x14ac:dyDescent="0.2">
      <c r="A1167" s="24" t="s">
        <v>479</v>
      </c>
      <c r="B1167" s="24" t="s">
        <v>1956</v>
      </c>
    </row>
    <row r="1168" spans="1:2" hidden="1" x14ac:dyDescent="0.2">
      <c r="A1168" s="24" t="s">
        <v>480</v>
      </c>
      <c r="B1168" s="24" t="s">
        <v>1957</v>
      </c>
    </row>
    <row r="1169" spans="1:2" hidden="1" x14ac:dyDescent="0.2">
      <c r="A1169" s="24" t="s">
        <v>481</v>
      </c>
      <c r="B1169" s="24" t="s">
        <v>1958</v>
      </c>
    </row>
    <row r="1170" spans="1:2" hidden="1" x14ac:dyDescent="0.2">
      <c r="A1170" s="24" t="s">
        <v>482</v>
      </c>
      <c r="B1170" s="24" t="s">
        <v>483</v>
      </c>
    </row>
    <row r="1171" spans="1:2" hidden="1" x14ac:dyDescent="0.2">
      <c r="A1171" s="24" t="s">
        <v>484</v>
      </c>
      <c r="B1171" s="24" t="s">
        <v>2215</v>
      </c>
    </row>
    <row r="1172" spans="1:2" hidden="1" x14ac:dyDescent="0.2">
      <c r="A1172" s="24" t="s">
        <v>2216</v>
      </c>
      <c r="B1172" s="24" t="s">
        <v>1959</v>
      </c>
    </row>
    <row r="1173" spans="1:2" hidden="1" x14ac:dyDescent="0.2">
      <c r="A1173" s="24" t="s">
        <v>2217</v>
      </c>
      <c r="B1173" s="24" t="s">
        <v>1960</v>
      </c>
    </row>
    <row r="1174" spans="1:2" hidden="1" x14ac:dyDescent="0.2">
      <c r="A1174" s="24" t="s">
        <v>2218</v>
      </c>
      <c r="B1174" s="24" t="s">
        <v>2219</v>
      </c>
    </row>
    <row r="1175" spans="1:2" hidden="1" x14ac:dyDescent="0.2">
      <c r="A1175" s="24" t="s">
        <v>2220</v>
      </c>
      <c r="B1175" s="24" t="s">
        <v>1961</v>
      </c>
    </row>
    <row r="1176" spans="1:2" hidden="1" x14ac:dyDescent="0.2">
      <c r="A1176" s="24" t="s">
        <v>999</v>
      </c>
      <c r="B1176" s="24" t="s">
        <v>1000</v>
      </c>
    </row>
    <row r="1177" spans="1:2" hidden="1" x14ac:dyDescent="0.2">
      <c r="A1177" s="24" t="s">
        <v>1001</v>
      </c>
      <c r="B1177" s="24" t="s">
        <v>1002</v>
      </c>
    </row>
    <row r="1178" spans="1:2" hidden="1" x14ac:dyDescent="0.2">
      <c r="A1178" s="24" t="s">
        <v>1003</v>
      </c>
      <c r="B1178" s="24" t="s">
        <v>1962</v>
      </c>
    </row>
    <row r="1179" spans="1:2" hidden="1" x14ac:dyDescent="0.2">
      <c r="A1179" s="24" t="s">
        <v>2237</v>
      </c>
      <c r="B1179" s="24" t="s">
        <v>1121</v>
      </c>
    </row>
    <row r="1180" spans="1:2" hidden="1" x14ac:dyDescent="0.2">
      <c r="A1180" s="24" t="s">
        <v>1122</v>
      </c>
      <c r="B1180" s="24" t="s">
        <v>1963</v>
      </c>
    </row>
    <row r="1181" spans="1:2" hidden="1" x14ac:dyDescent="0.2">
      <c r="A1181" s="24" t="s">
        <v>1123</v>
      </c>
      <c r="B1181" s="24" t="s">
        <v>1124</v>
      </c>
    </row>
    <row r="1182" spans="1:2" hidden="1" x14ac:dyDescent="0.2">
      <c r="A1182" s="24" t="s">
        <v>1125</v>
      </c>
      <c r="B1182" s="24" t="s">
        <v>1126</v>
      </c>
    </row>
    <row r="1183" spans="1:2" hidden="1" x14ac:dyDescent="0.2">
      <c r="A1183" s="24" t="s">
        <v>1127</v>
      </c>
      <c r="B1183" s="24" t="s">
        <v>1964</v>
      </c>
    </row>
    <row r="1184" spans="1:2" hidden="1" x14ac:dyDescent="0.2">
      <c r="A1184" s="24" t="s">
        <v>1128</v>
      </c>
      <c r="B1184" s="24" t="s">
        <v>1129</v>
      </c>
    </row>
    <row r="1185" spans="1:2" hidden="1" x14ac:dyDescent="0.2">
      <c r="A1185" s="24" t="s">
        <v>1130</v>
      </c>
      <c r="B1185" s="24" t="s">
        <v>1965</v>
      </c>
    </row>
    <row r="1186" spans="1:2" hidden="1" x14ac:dyDescent="0.2">
      <c r="A1186" s="24" t="s">
        <v>1131</v>
      </c>
      <c r="B1186" s="24" t="s">
        <v>1132</v>
      </c>
    </row>
    <row r="1187" spans="1:2" hidden="1" x14ac:dyDescent="0.2">
      <c r="A1187" s="24" t="s">
        <v>1133</v>
      </c>
      <c r="B1187" s="24" t="s">
        <v>1134</v>
      </c>
    </row>
    <row r="1188" spans="1:2" hidden="1" x14ac:dyDescent="0.2">
      <c r="A1188" s="24" t="s">
        <v>1135</v>
      </c>
      <c r="B1188" s="24" t="s">
        <v>1136</v>
      </c>
    </row>
    <row r="1189" spans="1:2" hidden="1" x14ac:dyDescent="0.2">
      <c r="A1189" s="24" t="s">
        <v>1137</v>
      </c>
      <c r="B1189" s="24" t="s">
        <v>1966</v>
      </c>
    </row>
    <row r="1190" spans="1:2" hidden="1" x14ac:dyDescent="0.2">
      <c r="A1190" s="24" t="s">
        <v>2238</v>
      </c>
      <c r="B1190" s="24" t="s">
        <v>1967</v>
      </c>
    </row>
    <row r="1191" spans="1:2" hidden="1" x14ac:dyDescent="0.2">
      <c r="A1191" s="24" t="s">
        <v>2239</v>
      </c>
      <c r="B1191" s="24" t="s">
        <v>1968</v>
      </c>
    </row>
    <row r="1192" spans="1:2" hidden="1" x14ac:dyDescent="0.2">
      <c r="A1192" s="24" t="s">
        <v>2240</v>
      </c>
      <c r="B1192" s="24" t="s">
        <v>2241</v>
      </c>
    </row>
    <row r="1193" spans="1:2" hidden="1" x14ac:dyDescent="0.2">
      <c r="A1193" s="24" t="s">
        <v>2242</v>
      </c>
      <c r="B1193" s="24" t="s">
        <v>1969</v>
      </c>
    </row>
    <row r="1194" spans="1:2" hidden="1" x14ac:dyDescent="0.2">
      <c r="A1194" s="24" t="s">
        <v>2243</v>
      </c>
      <c r="B1194" s="24" t="s">
        <v>2244</v>
      </c>
    </row>
    <row r="1195" spans="1:2" hidden="1" x14ac:dyDescent="0.2">
      <c r="A1195" s="24" t="s">
        <v>2245</v>
      </c>
      <c r="B1195" s="24" t="s">
        <v>2246</v>
      </c>
    </row>
    <row r="1196" spans="1:2" hidden="1" x14ac:dyDescent="0.2">
      <c r="A1196" s="24" t="s">
        <v>2247</v>
      </c>
      <c r="B1196" s="24" t="s">
        <v>2248</v>
      </c>
    </row>
    <row r="1197" spans="1:2" hidden="1" x14ac:dyDescent="0.2">
      <c r="A1197" s="24" t="s">
        <v>2249</v>
      </c>
      <c r="B1197" s="24" t="s">
        <v>2250</v>
      </c>
    </row>
    <row r="1198" spans="1:2" hidden="1" x14ac:dyDescent="0.2">
      <c r="A1198" s="24" t="s">
        <v>2251</v>
      </c>
      <c r="B1198" s="24" t="s">
        <v>2252</v>
      </c>
    </row>
    <row r="1199" spans="1:2" hidden="1" x14ac:dyDescent="0.2">
      <c r="A1199" s="24" t="s">
        <v>2253</v>
      </c>
      <c r="B1199" s="24" t="s">
        <v>2289</v>
      </c>
    </row>
    <row r="1200" spans="1:2" hidden="1" x14ac:dyDescent="0.2">
      <c r="A1200" s="24" t="s">
        <v>89</v>
      </c>
      <c r="B1200" s="24" t="s">
        <v>90</v>
      </c>
    </row>
    <row r="1201" spans="1:2" hidden="1" x14ac:dyDescent="0.2">
      <c r="A1201" s="24" t="s">
        <v>91</v>
      </c>
      <c r="B1201" s="24" t="s">
        <v>92</v>
      </c>
    </row>
    <row r="1202" spans="1:2" hidden="1" x14ac:dyDescent="0.2">
      <c r="A1202" s="24" t="s">
        <v>93</v>
      </c>
      <c r="B1202" s="24" t="s">
        <v>1970</v>
      </c>
    </row>
    <row r="1203" spans="1:2" hidden="1" x14ac:dyDescent="0.2">
      <c r="A1203" s="24" t="s">
        <v>94</v>
      </c>
      <c r="B1203" s="24" t="s">
        <v>1971</v>
      </c>
    </row>
    <row r="1204" spans="1:2" hidden="1" x14ac:dyDescent="0.2">
      <c r="A1204" s="24" t="s">
        <v>95</v>
      </c>
      <c r="B1204" s="24" t="s">
        <v>1972</v>
      </c>
    </row>
    <row r="1205" spans="1:2" hidden="1" x14ac:dyDescent="0.2">
      <c r="A1205" s="24" t="s">
        <v>2119</v>
      </c>
      <c r="B1205" s="24" t="s">
        <v>2051</v>
      </c>
    </row>
    <row r="1206" spans="1:2" hidden="1" x14ac:dyDescent="0.2">
      <c r="A1206" s="24" t="s">
        <v>2052</v>
      </c>
      <c r="B1206" s="24" t="s">
        <v>2367</v>
      </c>
    </row>
    <row r="1207" spans="1:2" hidden="1" x14ac:dyDescent="0.2">
      <c r="A1207" s="24" t="s">
        <v>2368</v>
      </c>
      <c r="B1207" s="24" t="s">
        <v>1973</v>
      </c>
    </row>
    <row r="1208" spans="1:2" hidden="1" x14ac:dyDescent="0.2">
      <c r="A1208" s="24" t="s">
        <v>2369</v>
      </c>
      <c r="B1208" s="24" t="s">
        <v>2370</v>
      </c>
    </row>
    <row r="1209" spans="1:2" hidden="1" x14ac:dyDescent="0.2">
      <c r="A1209" s="24" t="s">
        <v>2371</v>
      </c>
      <c r="B1209" s="24" t="s">
        <v>2372</v>
      </c>
    </row>
    <row r="1210" spans="1:2" hidden="1" x14ac:dyDescent="0.2">
      <c r="A1210" s="24" t="s">
        <v>2373</v>
      </c>
      <c r="B1210" s="24" t="s">
        <v>2374</v>
      </c>
    </row>
    <row r="1211" spans="1:2" hidden="1" x14ac:dyDescent="0.2">
      <c r="A1211" s="24" t="s">
        <v>2375</v>
      </c>
      <c r="B1211" s="24" t="s">
        <v>1974</v>
      </c>
    </row>
    <row r="1212" spans="1:2" hidden="1" x14ac:dyDescent="0.2">
      <c r="A1212" s="24" t="s">
        <v>2376</v>
      </c>
      <c r="B1212" s="24" t="s">
        <v>2377</v>
      </c>
    </row>
    <row r="1213" spans="1:2" hidden="1" x14ac:dyDescent="0.2">
      <c r="A1213" s="24" t="s">
        <v>2378</v>
      </c>
      <c r="B1213" s="24" t="s">
        <v>2379</v>
      </c>
    </row>
    <row r="1214" spans="1:2" hidden="1" x14ac:dyDescent="0.2">
      <c r="A1214" s="24" t="s">
        <v>2380</v>
      </c>
      <c r="B1214" s="24" t="s">
        <v>1062</v>
      </c>
    </row>
    <row r="1215" spans="1:2" hidden="1" x14ac:dyDescent="0.2">
      <c r="A1215" s="24" t="s">
        <v>2381</v>
      </c>
      <c r="B1215" s="24" t="s">
        <v>2329</v>
      </c>
    </row>
    <row r="1216" spans="1:2" hidden="1" x14ac:dyDescent="0.2">
      <c r="A1216" s="24" t="s">
        <v>2330</v>
      </c>
      <c r="B1216" s="24" t="s">
        <v>2331</v>
      </c>
    </row>
    <row r="1217" spans="1:2" hidden="1" x14ac:dyDescent="0.2">
      <c r="A1217" s="24" t="s">
        <v>2332</v>
      </c>
      <c r="B1217" s="24" t="s">
        <v>2333</v>
      </c>
    </row>
    <row r="1218" spans="1:2" hidden="1" x14ac:dyDescent="0.2">
      <c r="A1218" s="24" t="s">
        <v>2334</v>
      </c>
      <c r="B1218" s="24" t="s">
        <v>2335</v>
      </c>
    </row>
    <row r="1219" spans="1:2" hidden="1" x14ac:dyDescent="0.2">
      <c r="A1219" s="24" t="s">
        <v>2336</v>
      </c>
      <c r="B1219" s="24" t="s">
        <v>2094</v>
      </c>
    </row>
    <row r="1220" spans="1:2" hidden="1" x14ac:dyDescent="0.2">
      <c r="A1220" s="24" t="s">
        <v>2095</v>
      </c>
      <c r="B1220" s="24" t="s">
        <v>1063</v>
      </c>
    </row>
    <row r="1221" spans="1:2" hidden="1" x14ac:dyDescent="0.2">
      <c r="A1221" s="24" t="s">
        <v>2382</v>
      </c>
      <c r="B1221" s="24" t="s">
        <v>1064</v>
      </c>
    </row>
    <row r="1222" spans="1:2" hidden="1" x14ac:dyDescent="0.2">
      <c r="A1222" s="24" t="s">
        <v>2383</v>
      </c>
      <c r="B1222" s="24" t="s">
        <v>2384</v>
      </c>
    </row>
    <row r="1223" spans="1:2" hidden="1" x14ac:dyDescent="0.2">
      <c r="A1223" s="24" t="s">
        <v>2385</v>
      </c>
      <c r="B1223" s="24" t="s">
        <v>1065</v>
      </c>
    </row>
    <row r="1224" spans="1:2" hidden="1" x14ac:dyDescent="0.2">
      <c r="A1224" s="24" t="s">
        <v>2386</v>
      </c>
      <c r="B1224" s="24" t="s">
        <v>1066</v>
      </c>
    </row>
    <row r="1225" spans="1:2" hidden="1" x14ac:dyDescent="0.2">
      <c r="A1225" s="24" t="s">
        <v>2387</v>
      </c>
      <c r="B1225" s="24" t="s">
        <v>2388</v>
      </c>
    </row>
    <row r="1226" spans="1:2" hidden="1" x14ac:dyDescent="0.2">
      <c r="A1226" s="24" t="s">
        <v>1898</v>
      </c>
      <c r="B1226" s="24" t="s">
        <v>1899</v>
      </c>
    </row>
    <row r="1227" spans="1:2" hidden="1" x14ac:dyDescent="0.2">
      <c r="A1227" s="24" t="s">
        <v>1900</v>
      </c>
      <c r="B1227" s="24" t="s">
        <v>1067</v>
      </c>
    </row>
    <row r="1228" spans="1:2" hidden="1" x14ac:dyDescent="0.2">
      <c r="A1228" s="24" t="s">
        <v>2236</v>
      </c>
      <c r="B1228" s="24" t="s">
        <v>1327</v>
      </c>
    </row>
    <row r="1229" spans="1:2" hidden="1" x14ac:dyDescent="0.2">
      <c r="A1229" s="24" t="s">
        <v>1328</v>
      </c>
      <c r="B1229" s="24" t="s">
        <v>1068</v>
      </c>
    </row>
    <row r="1230" spans="1:2" hidden="1" x14ac:dyDescent="0.2">
      <c r="A1230" s="24" t="s">
        <v>1329</v>
      </c>
      <c r="B1230" s="24" t="s">
        <v>1330</v>
      </c>
    </row>
    <row r="1231" spans="1:2" hidden="1" x14ac:dyDescent="0.2">
      <c r="A1231" s="24" t="s">
        <v>1331</v>
      </c>
      <c r="B1231" s="24" t="s">
        <v>1069</v>
      </c>
    </row>
    <row r="1232" spans="1:2" hidden="1" x14ac:dyDescent="0.2">
      <c r="A1232" s="24" t="s">
        <v>2233</v>
      </c>
      <c r="B1232" s="24" t="s">
        <v>2234</v>
      </c>
    </row>
    <row r="1233" spans="1:2" hidden="1" x14ac:dyDescent="0.2">
      <c r="A1233" s="24" t="s">
        <v>2235</v>
      </c>
      <c r="B1233" s="24" t="s">
        <v>1070</v>
      </c>
    </row>
    <row r="1234" spans="1:2" hidden="1" x14ac:dyDescent="0.2">
      <c r="A1234" s="24" t="s">
        <v>2034</v>
      </c>
      <c r="B1234" s="24" t="s">
        <v>1071</v>
      </c>
    </row>
    <row r="1235" spans="1:2" hidden="1" x14ac:dyDescent="0.2">
      <c r="A1235" s="24" t="s">
        <v>2035</v>
      </c>
      <c r="B1235" s="24" t="s">
        <v>2036</v>
      </c>
    </row>
    <row r="1236" spans="1:2" hidden="1" x14ac:dyDescent="0.2">
      <c r="A1236" s="24" t="s">
        <v>2037</v>
      </c>
      <c r="B1236" s="24" t="s">
        <v>1072</v>
      </c>
    </row>
    <row r="1237" spans="1:2" hidden="1" x14ac:dyDescent="0.2">
      <c r="A1237" s="24" t="s">
        <v>2038</v>
      </c>
      <c r="B1237" s="24" t="s">
        <v>2753</v>
      </c>
    </row>
    <row r="1238" spans="1:2" hidden="1" x14ac:dyDescent="0.2">
      <c r="A1238" s="24" t="s">
        <v>2754</v>
      </c>
      <c r="B1238" s="24" t="s">
        <v>1073</v>
      </c>
    </row>
    <row r="1239" spans="1:2" hidden="1" x14ac:dyDescent="0.2">
      <c r="A1239" s="24" t="s">
        <v>2755</v>
      </c>
      <c r="B1239" s="24" t="s">
        <v>1074</v>
      </c>
    </row>
    <row r="1240" spans="1:2" hidden="1" x14ac:dyDescent="0.2">
      <c r="A1240" s="24" t="s">
        <v>2756</v>
      </c>
      <c r="B1240" s="24" t="s">
        <v>1073</v>
      </c>
    </row>
    <row r="1241" spans="1:2" hidden="1" x14ac:dyDescent="0.2">
      <c r="A1241" s="24" t="s">
        <v>2757</v>
      </c>
      <c r="B1241" s="24" t="s">
        <v>1075</v>
      </c>
    </row>
    <row r="1242" spans="1:2" hidden="1" x14ac:dyDescent="0.2">
      <c r="A1242" s="24" t="s">
        <v>2758</v>
      </c>
      <c r="B1242" s="24" t="s">
        <v>76</v>
      </c>
    </row>
    <row r="1243" spans="1:2" hidden="1" x14ac:dyDescent="0.2">
      <c r="A1243" s="24" t="s">
        <v>77</v>
      </c>
      <c r="B1243" s="24" t="s">
        <v>1076</v>
      </c>
    </row>
    <row r="1244" spans="1:2" hidden="1" x14ac:dyDescent="0.2">
      <c r="A1244" s="24" t="s">
        <v>2175</v>
      </c>
      <c r="B1244" s="24" t="s">
        <v>2176</v>
      </c>
    </row>
    <row r="1245" spans="1:2" hidden="1" x14ac:dyDescent="0.2">
      <c r="A1245" s="24" t="s">
        <v>2177</v>
      </c>
      <c r="B1245" s="24" t="s">
        <v>2178</v>
      </c>
    </row>
    <row r="1246" spans="1:2" hidden="1" x14ac:dyDescent="0.2">
      <c r="A1246" s="24" t="s">
        <v>2179</v>
      </c>
      <c r="B1246" s="24" t="s">
        <v>1260</v>
      </c>
    </row>
    <row r="1247" spans="1:2" hidden="1" x14ac:dyDescent="0.2">
      <c r="A1247" s="24" t="s">
        <v>2180</v>
      </c>
      <c r="B1247" s="24" t="s">
        <v>718</v>
      </c>
    </row>
    <row r="1248" spans="1:2" hidden="1" x14ac:dyDescent="0.2">
      <c r="A1248" s="24" t="s">
        <v>2181</v>
      </c>
      <c r="B1248" s="24" t="s">
        <v>552</v>
      </c>
    </row>
    <row r="1249" spans="1:2" hidden="1" x14ac:dyDescent="0.2">
      <c r="A1249" s="24" t="s">
        <v>553</v>
      </c>
      <c r="B1249" s="24" t="s">
        <v>719</v>
      </c>
    </row>
    <row r="1250" spans="1:2" hidden="1" x14ac:dyDescent="0.2">
      <c r="A1250" s="24" t="s">
        <v>2212</v>
      </c>
      <c r="B1250" s="24" t="s">
        <v>719</v>
      </c>
    </row>
    <row r="1251" spans="1:2" hidden="1" x14ac:dyDescent="0.2">
      <c r="A1251" s="24" t="s">
        <v>2213</v>
      </c>
      <c r="B1251" s="24" t="s">
        <v>1742</v>
      </c>
    </row>
    <row r="1252" spans="1:2" hidden="1" x14ac:dyDescent="0.2">
      <c r="A1252" s="24" t="s">
        <v>1105</v>
      </c>
      <c r="B1252" s="24" t="s">
        <v>1106</v>
      </c>
    </row>
    <row r="1253" spans="1:2" hidden="1" x14ac:dyDescent="0.2">
      <c r="A1253" s="24" t="s">
        <v>1107</v>
      </c>
      <c r="B1253" s="24" t="s">
        <v>719</v>
      </c>
    </row>
    <row r="1254" spans="1:2" hidden="1" x14ac:dyDescent="0.2">
      <c r="A1254" s="24" t="s">
        <v>180</v>
      </c>
      <c r="B1254" s="24" t="s">
        <v>719</v>
      </c>
    </row>
    <row r="1255" spans="1:2" hidden="1" x14ac:dyDescent="0.2">
      <c r="A1255" s="24" t="s">
        <v>181</v>
      </c>
      <c r="B1255" s="24" t="s">
        <v>719</v>
      </c>
    </row>
    <row r="1256" spans="1:2" hidden="1" x14ac:dyDescent="0.2">
      <c r="A1256" s="24" t="s">
        <v>1108</v>
      </c>
      <c r="B1256" s="24" t="s">
        <v>719</v>
      </c>
    </row>
    <row r="1257" spans="1:2" hidden="1" x14ac:dyDescent="0.2">
      <c r="A1257" s="24" t="s">
        <v>1449</v>
      </c>
      <c r="B1257" s="24" t="s">
        <v>719</v>
      </c>
    </row>
    <row r="1258" spans="1:2" hidden="1" x14ac:dyDescent="0.2">
      <c r="A1258" s="24" t="s">
        <v>2098</v>
      </c>
      <c r="B1258" s="24" t="s">
        <v>719</v>
      </c>
    </row>
    <row r="1259" spans="1:2" hidden="1" x14ac:dyDescent="0.2">
      <c r="A1259" s="24" t="s">
        <v>2099</v>
      </c>
      <c r="B1259" s="24" t="s">
        <v>719</v>
      </c>
    </row>
    <row r="1260" spans="1:2" hidden="1" x14ac:dyDescent="0.2">
      <c r="A1260" s="24" t="s">
        <v>2100</v>
      </c>
      <c r="B1260" s="24" t="s">
        <v>1743</v>
      </c>
    </row>
    <row r="1261" spans="1:2" hidden="1" x14ac:dyDescent="0.2">
      <c r="A1261" s="24" t="s">
        <v>2101</v>
      </c>
      <c r="B1261" s="24" t="s">
        <v>2135</v>
      </c>
    </row>
    <row r="1262" spans="1:2" hidden="1" x14ac:dyDescent="0.2">
      <c r="A1262" s="24" t="s">
        <v>2136</v>
      </c>
      <c r="B1262" s="24" t="s">
        <v>524</v>
      </c>
    </row>
    <row r="1263" spans="1:2" hidden="1" x14ac:dyDescent="0.2">
      <c r="A1263" s="24" t="s">
        <v>2137</v>
      </c>
      <c r="B1263" s="24" t="s">
        <v>2138</v>
      </c>
    </row>
    <row r="1264" spans="1:2" hidden="1" x14ac:dyDescent="0.2">
      <c r="A1264" s="24" t="s">
        <v>2139</v>
      </c>
      <c r="B1264" s="24" t="s">
        <v>2140</v>
      </c>
    </row>
    <row r="1265" spans="1:2" hidden="1" x14ac:dyDescent="0.2">
      <c r="A1265" s="24" t="s">
        <v>2141</v>
      </c>
      <c r="B1265" s="24" t="s">
        <v>525</v>
      </c>
    </row>
    <row r="1266" spans="1:2" hidden="1" x14ac:dyDescent="0.2">
      <c r="A1266" s="24" t="s">
        <v>1831</v>
      </c>
      <c r="B1266" s="24" t="s">
        <v>526</v>
      </c>
    </row>
    <row r="1267" spans="1:2" hidden="1" x14ac:dyDescent="0.2">
      <c r="A1267" s="24" t="s">
        <v>831</v>
      </c>
      <c r="B1267" s="24" t="s">
        <v>832</v>
      </c>
    </row>
    <row r="1268" spans="1:2" hidden="1" x14ac:dyDescent="0.2">
      <c r="A1268" s="24" t="s">
        <v>833</v>
      </c>
      <c r="B1268" s="24" t="s">
        <v>527</v>
      </c>
    </row>
    <row r="1269" spans="1:2" hidden="1" x14ac:dyDescent="0.2">
      <c r="A1269" s="24" t="s">
        <v>1661</v>
      </c>
      <c r="B1269" s="24" t="s">
        <v>1662</v>
      </c>
    </row>
    <row r="1270" spans="1:2" hidden="1" x14ac:dyDescent="0.2">
      <c r="A1270" s="24" t="s">
        <v>1663</v>
      </c>
      <c r="B1270" s="24" t="s">
        <v>1664</v>
      </c>
    </row>
    <row r="1271" spans="1:2" hidden="1" x14ac:dyDescent="0.2">
      <c r="A1271" s="24" t="s">
        <v>1665</v>
      </c>
      <c r="B1271" s="24" t="s">
        <v>1691</v>
      </c>
    </row>
    <row r="1272" spans="1:2" hidden="1" x14ac:dyDescent="0.2">
      <c r="A1272" s="24" t="s">
        <v>1692</v>
      </c>
      <c r="B1272" s="24" t="s">
        <v>528</v>
      </c>
    </row>
    <row r="1273" spans="1:2" hidden="1" x14ac:dyDescent="0.2">
      <c r="A1273" s="24" t="s">
        <v>1693</v>
      </c>
      <c r="B1273" s="24" t="s">
        <v>1694</v>
      </c>
    </row>
    <row r="1274" spans="1:2" hidden="1" x14ac:dyDescent="0.2">
      <c r="A1274" s="24" t="s">
        <v>1695</v>
      </c>
      <c r="B1274" s="24" t="s">
        <v>529</v>
      </c>
    </row>
    <row r="1275" spans="1:2" hidden="1" x14ac:dyDescent="0.2">
      <c r="A1275" s="24" t="s">
        <v>1696</v>
      </c>
      <c r="B1275" s="24" t="s">
        <v>530</v>
      </c>
    </row>
    <row r="1276" spans="1:2" hidden="1" x14ac:dyDescent="0.2">
      <c r="A1276" s="24" t="s">
        <v>2639</v>
      </c>
      <c r="B1276" s="24" t="s">
        <v>531</v>
      </c>
    </row>
    <row r="1277" spans="1:2" hidden="1" x14ac:dyDescent="0.2">
      <c r="A1277" s="24" t="s">
        <v>2640</v>
      </c>
      <c r="B1277" s="24" t="s">
        <v>2641</v>
      </c>
    </row>
    <row r="1278" spans="1:2" hidden="1" x14ac:dyDescent="0.2">
      <c r="A1278" s="24" t="s">
        <v>2642</v>
      </c>
      <c r="B1278" s="24" t="s">
        <v>532</v>
      </c>
    </row>
    <row r="1279" spans="1:2" hidden="1" x14ac:dyDescent="0.2">
      <c r="A1279" s="24" t="s">
        <v>2643</v>
      </c>
      <c r="B1279" s="24" t="s">
        <v>533</v>
      </c>
    </row>
    <row r="1280" spans="1:2" hidden="1" x14ac:dyDescent="0.2">
      <c r="A1280" s="24" t="s">
        <v>166</v>
      </c>
      <c r="B1280" s="24" t="s">
        <v>167</v>
      </c>
    </row>
    <row r="1281" spans="1:2" hidden="1" x14ac:dyDescent="0.2">
      <c r="A1281" s="24" t="s">
        <v>168</v>
      </c>
      <c r="B1281" s="24" t="s">
        <v>534</v>
      </c>
    </row>
    <row r="1282" spans="1:2" hidden="1" x14ac:dyDescent="0.2">
      <c r="A1282" s="24" t="s">
        <v>169</v>
      </c>
      <c r="B1282" s="24" t="s">
        <v>170</v>
      </c>
    </row>
    <row r="1283" spans="1:2" hidden="1" x14ac:dyDescent="0.2">
      <c r="A1283" s="24" t="s">
        <v>171</v>
      </c>
      <c r="B1283" s="24" t="s">
        <v>1538</v>
      </c>
    </row>
    <row r="1284" spans="1:2" hidden="1" x14ac:dyDescent="0.2">
      <c r="A1284" s="24" t="s">
        <v>834</v>
      </c>
      <c r="B1284" s="24" t="s">
        <v>1539</v>
      </c>
    </row>
    <row r="1285" spans="1:2" hidden="1" x14ac:dyDescent="0.2">
      <c r="A1285" s="24" t="s">
        <v>835</v>
      </c>
      <c r="B1285" s="24" t="s">
        <v>836</v>
      </c>
    </row>
    <row r="1286" spans="1:2" hidden="1" x14ac:dyDescent="0.2">
      <c r="A1286" s="24" t="s">
        <v>837</v>
      </c>
      <c r="B1286" s="24" t="s">
        <v>838</v>
      </c>
    </row>
    <row r="1287" spans="1:2" hidden="1" x14ac:dyDescent="0.2">
      <c r="A1287" s="24" t="s">
        <v>839</v>
      </c>
      <c r="B1287" s="24" t="s">
        <v>840</v>
      </c>
    </row>
    <row r="1288" spans="1:2" hidden="1" x14ac:dyDescent="0.2">
      <c r="A1288" s="24" t="s">
        <v>841</v>
      </c>
      <c r="B1288" s="24" t="s">
        <v>842</v>
      </c>
    </row>
    <row r="1289" spans="1:2" hidden="1" x14ac:dyDescent="0.2">
      <c r="A1289" s="24" t="s">
        <v>843</v>
      </c>
      <c r="B1289" s="24" t="s">
        <v>844</v>
      </c>
    </row>
    <row r="1290" spans="1:2" hidden="1" x14ac:dyDescent="0.2">
      <c r="A1290" s="24" t="s">
        <v>845</v>
      </c>
      <c r="B1290" s="24" t="s">
        <v>1540</v>
      </c>
    </row>
    <row r="1291" spans="1:2" hidden="1" x14ac:dyDescent="0.2">
      <c r="A1291" s="24" t="s">
        <v>846</v>
      </c>
      <c r="B1291" s="24" t="s">
        <v>847</v>
      </c>
    </row>
    <row r="1292" spans="1:2" hidden="1" x14ac:dyDescent="0.2">
      <c r="A1292" s="24" t="s">
        <v>848</v>
      </c>
      <c r="B1292" s="24" t="s">
        <v>80</v>
      </c>
    </row>
    <row r="1293" spans="1:2" hidden="1" x14ac:dyDescent="0.2">
      <c r="A1293" s="24" t="s">
        <v>81</v>
      </c>
      <c r="B1293" s="24" t="s">
        <v>82</v>
      </c>
    </row>
    <row r="1294" spans="1:2" hidden="1" x14ac:dyDescent="0.2">
      <c r="A1294" s="24" t="s">
        <v>83</v>
      </c>
      <c r="B1294" s="24" t="s">
        <v>84</v>
      </c>
    </row>
    <row r="1295" spans="1:2" hidden="1" x14ac:dyDescent="0.2">
      <c r="A1295" s="24" t="s">
        <v>85</v>
      </c>
      <c r="B1295" s="24" t="s">
        <v>1541</v>
      </c>
    </row>
    <row r="1296" spans="1:2" hidden="1" x14ac:dyDescent="0.2">
      <c r="A1296" s="24" t="s">
        <v>86</v>
      </c>
      <c r="B1296" s="24" t="s">
        <v>87</v>
      </c>
    </row>
    <row r="1297" spans="1:2" hidden="1" x14ac:dyDescent="0.2">
      <c r="A1297" s="24" t="s">
        <v>88</v>
      </c>
      <c r="B1297" s="24" t="s">
        <v>1460</v>
      </c>
    </row>
    <row r="1298" spans="1:2" hidden="1" x14ac:dyDescent="0.2">
      <c r="A1298" s="24" t="s">
        <v>757</v>
      </c>
      <c r="B1298" s="24" t="s">
        <v>1461</v>
      </c>
    </row>
    <row r="1299" spans="1:2" hidden="1" x14ac:dyDescent="0.2">
      <c r="A1299" s="24" t="s">
        <v>758</v>
      </c>
      <c r="B1299" s="24" t="s">
        <v>759</v>
      </c>
    </row>
    <row r="1300" spans="1:2" hidden="1" x14ac:dyDescent="0.2">
      <c r="A1300" s="24" t="s">
        <v>760</v>
      </c>
      <c r="B1300" s="24" t="s">
        <v>1639</v>
      </c>
    </row>
    <row r="1301" spans="1:2" hidden="1" x14ac:dyDescent="0.2">
      <c r="A1301" s="24" t="s">
        <v>1640</v>
      </c>
      <c r="B1301" s="24" t="s">
        <v>1462</v>
      </c>
    </row>
    <row r="1302" spans="1:2" hidden="1" x14ac:dyDescent="0.2">
      <c r="A1302" s="24" t="s">
        <v>1641</v>
      </c>
      <c r="B1302" s="24" t="s">
        <v>1642</v>
      </c>
    </row>
    <row r="1303" spans="1:2" hidden="1" x14ac:dyDescent="0.2">
      <c r="A1303" s="24" t="s">
        <v>1643</v>
      </c>
      <c r="B1303" s="24" t="s">
        <v>1644</v>
      </c>
    </row>
    <row r="1304" spans="1:2" hidden="1" x14ac:dyDescent="0.2">
      <c r="A1304" s="24" t="s">
        <v>1645</v>
      </c>
      <c r="B1304" s="24" t="s">
        <v>1463</v>
      </c>
    </row>
    <row r="1305" spans="1:2" hidden="1" x14ac:dyDescent="0.2">
      <c r="A1305" s="24" t="s">
        <v>1646</v>
      </c>
      <c r="B1305" s="24" t="s">
        <v>1647</v>
      </c>
    </row>
    <row r="1306" spans="1:2" hidden="1" x14ac:dyDescent="0.2">
      <c r="A1306" s="24" t="s">
        <v>1648</v>
      </c>
      <c r="B1306" s="24" t="s">
        <v>1649</v>
      </c>
    </row>
    <row r="1307" spans="1:2" hidden="1" x14ac:dyDescent="0.2">
      <c r="A1307" s="24" t="s">
        <v>1650</v>
      </c>
      <c r="B1307" s="24" t="s">
        <v>1651</v>
      </c>
    </row>
    <row r="1308" spans="1:2" hidden="1" x14ac:dyDescent="0.2">
      <c r="A1308" s="24" t="s">
        <v>1652</v>
      </c>
      <c r="B1308" s="24" t="s">
        <v>22</v>
      </c>
    </row>
    <row r="1309" spans="1:2" hidden="1" x14ac:dyDescent="0.2">
      <c r="A1309" s="24" t="s">
        <v>711</v>
      </c>
      <c r="B1309" s="24" t="s">
        <v>22</v>
      </c>
    </row>
    <row r="1310" spans="1:2" hidden="1" x14ac:dyDescent="0.2">
      <c r="A1310" s="24" t="s">
        <v>684</v>
      </c>
      <c r="B1310" s="24" t="s">
        <v>2806</v>
      </c>
    </row>
    <row r="1311" spans="1:2" hidden="1" x14ac:dyDescent="0.2">
      <c r="A1311" s="24" t="s">
        <v>1227</v>
      </c>
      <c r="B1311" s="24" t="s">
        <v>1250</v>
      </c>
    </row>
    <row r="1312" spans="1:2" hidden="1" x14ac:dyDescent="0.2">
      <c r="A1312" s="24" t="s">
        <v>1228</v>
      </c>
      <c r="B1312" s="24" t="s">
        <v>1229</v>
      </c>
    </row>
    <row r="1313" spans="1:2" hidden="1" x14ac:dyDescent="0.2">
      <c r="A1313" s="24" t="s">
        <v>1230</v>
      </c>
      <c r="B1313" s="24" t="s">
        <v>1251</v>
      </c>
    </row>
    <row r="1314" spans="1:2" hidden="1" x14ac:dyDescent="0.2">
      <c r="A1314" s="24" t="s">
        <v>1231</v>
      </c>
      <c r="B1314" s="24" t="s">
        <v>1232</v>
      </c>
    </row>
    <row r="1315" spans="1:2" hidden="1" x14ac:dyDescent="0.2">
      <c r="A1315" s="24" t="s">
        <v>1233</v>
      </c>
      <c r="B1315" s="24" t="s">
        <v>1252</v>
      </c>
    </row>
    <row r="1316" spans="1:2" hidden="1" x14ac:dyDescent="0.2">
      <c r="A1316" s="24" t="s">
        <v>1234</v>
      </c>
      <c r="B1316" s="24" t="s">
        <v>1235</v>
      </c>
    </row>
    <row r="1317" spans="1:2" hidden="1" x14ac:dyDescent="0.2">
      <c r="A1317" s="24" t="s">
        <v>1236</v>
      </c>
      <c r="B1317" s="24" t="s">
        <v>686</v>
      </c>
    </row>
    <row r="1318" spans="1:2" hidden="1" x14ac:dyDescent="0.2">
      <c r="A1318" s="24" t="s">
        <v>687</v>
      </c>
      <c r="B1318" s="24" t="s">
        <v>688</v>
      </c>
    </row>
    <row r="1319" spans="1:2" hidden="1" x14ac:dyDescent="0.2">
      <c r="A1319" s="24" t="s">
        <v>689</v>
      </c>
      <c r="B1319" s="24" t="s">
        <v>690</v>
      </c>
    </row>
    <row r="1320" spans="1:2" hidden="1" x14ac:dyDescent="0.2">
      <c r="A1320" s="24" t="s">
        <v>2311</v>
      </c>
      <c r="B1320" s="24" t="s">
        <v>1254</v>
      </c>
    </row>
    <row r="1321" spans="1:2" hidden="1" x14ac:dyDescent="0.2">
      <c r="A1321" s="24" t="s">
        <v>685</v>
      </c>
      <c r="B1321" s="24" t="s">
        <v>2130</v>
      </c>
    </row>
    <row r="1322" spans="1:2" hidden="1" x14ac:dyDescent="0.2">
      <c r="A1322" s="24" t="s">
        <v>2312</v>
      </c>
      <c r="B1322" s="24" t="s">
        <v>1515</v>
      </c>
    </row>
    <row r="1323" spans="1:2" hidden="1" x14ac:dyDescent="0.2">
      <c r="A1323" s="24" t="s">
        <v>1516</v>
      </c>
      <c r="B1323" s="24" t="s">
        <v>1517</v>
      </c>
    </row>
    <row r="1324" spans="1:2" hidden="1" x14ac:dyDescent="0.2">
      <c r="A1324" s="24" t="s">
        <v>1518</v>
      </c>
      <c r="B1324" s="24" t="s">
        <v>947</v>
      </c>
    </row>
    <row r="1325" spans="1:2" hidden="1" x14ac:dyDescent="0.2">
      <c r="A1325" s="24" t="s">
        <v>948</v>
      </c>
      <c r="B1325" s="24" t="s">
        <v>949</v>
      </c>
    </row>
    <row r="1326" spans="1:2" hidden="1" x14ac:dyDescent="0.2">
      <c r="A1326" s="24" t="s">
        <v>950</v>
      </c>
      <c r="B1326" s="24" t="s">
        <v>951</v>
      </c>
    </row>
    <row r="1327" spans="1:2" hidden="1" x14ac:dyDescent="0.2">
      <c r="A1327" s="24" t="s">
        <v>952</v>
      </c>
      <c r="B1327" s="24" t="s">
        <v>953</v>
      </c>
    </row>
    <row r="1328" spans="1:2" hidden="1" x14ac:dyDescent="0.2">
      <c r="A1328" s="24" t="s">
        <v>954</v>
      </c>
      <c r="B1328" s="24" t="s">
        <v>2131</v>
      </c>
    </row>
    <row r="1329" spans="1:2" hidden="1" x14ac:dyDescent="0.2">
      <c r="A1329" s="24" t="s">
        <v>1830</v>
      </c>
      <c r="B1329" s="24" t="s">
        <v>2132</v>
      </c>
    </row>
    <row r="1330" spans="1:2" hidden="1" x14ac:dyDescent="0.2">
      <c r="A1330" s="24" t="s">
        <v>735</v>
      </c>
      <c r="B1330" s="24" t="s">
        <v>2133</v>
      </c>
    </row>
    <row r="1331" spans="1:2" hidden="1" x14ac:dyDescent="0.2">
      <c r="A1331" s="24" t="s">
        <v>736</v>
      </c>
      <c r="B1331" s="24" t="s">
        <v>737</v>
      </c>
    </row>
    <row r="1332" spans="1:2" hidden="1" x14ac:dyDescent="0.2">
      <c r="A1332" s="24" t="s">
        <v>738</v>
      </c>
      <c r="B1332" s="24" t="s">
        <v>739</v>
      </c>
    </row>
    <row r="1333" spans="1:2" hidden="1" x14ac:dyDescent="0.2">
      <c r="A1333" s="24" t="s">
        <v>2</v>
      </c>
      <c r="B1333" s="24" t="s">
        <v>3</v>
      </c>
    </row>
    <row r="1334" spans="1:2" hidden="1" x14ac:dyDescent="0.2">
      <c r="A1334" s="24" t="s">
        <v>4</v>
      </c>
      <c r="B1334" s="24" t="s">
        <v>2134</v>
      </c>
    </row>
    <row r="1335" spans="1:2" hidden="1" x14ac:dyDescent="0.2">
      <c r="A1335" s="24" t="s">
        <v>5</v>
      </c>
      <c r="B1335" s="24" t="s">
        <v>2400</v>
      </c>
    </row>
    <row r="1336" spans="1:2" hidden="1" x14ac:dyDescent="0.2">
      <c r="A1336" s="24" t="s">
        <v>2401</v>
      </c>
      <c r="B1336" s="24" t="s">
        <v>2402</v>
      </c>
    </row>
    <row r="1337" spans="1:2" hidden="1" x14ac:dyDescent="0.2">
      <c r="A1337" s="24" t="s">
        <v>2403</v>
      </c>
      <c r="B1337" s="24" t="s">
        <v>366</v>
      </c>
    </row>
    <row r="1338" spans="1:2" hidden="1" x14ac:dyDescent="0.2">
      <c r="A1338" s="24" t="s">
        <v>2404</v>
      </c>
      <c r="B1338" s="24" t="s">
        <v>367</v>
      </c>
    </row>
    <row r="1339" spans="1:2" hidden="1" x14ac:dyDescent="0.2">
      <c r="A1339" s="24" t="s">
        <v>273</v>
      </c>
      <c r="B1339" s="24" t="s">
        <v>274</v>
      </c>
    </row>
    <row r="1340" spans="1:2" hidden="1" x14ac:dyDescent="0.2">
      <c r="A1340" s="24" t="s">
        <v>275</v>
      </c>
      <c r="B1340" s="24" t="s">
        <v>276</v>
      </c>
    </row>
    <row r="1341" spans="1:2" hidden="1" x14ac:dyDescent="0.2">
      <c r="A1341" s="24" t="s">
        <v>277</v>
      </c>
      <c r="B1341" s="24" t="s">
        <v>278</v>
      </c>
    </row>
    <row r="1342" spans="1:2" hidden="1" x14ac:dyDescent="0.2">
      <c r="A1342" s="24" t="s">
        <v>279</v>
      </c>
      <c r="B1342" s="24" t="s">
        <v>368</v>
      </c>
    </row>
    <row r="1343" spans="1:2" hidden="1" x14ac:dyDescent="0.2">
      <c r="A1343" s="24" t="s">
        <v>280</v>
      </c>
      <c r="B1343" s="24" t="s">
        <v>369</v>
      </c>
    </row>
    <row r="1344" spans="1:2" hidden="1" x14ac:dyDescent="0.2">
      <c r="A1344" s="24" t="s">
        <v>404</v>
      </c>
      <c r="B1344" s="24" t="s">
        <v>2011</v>
      </c>
    </row>
    <row r="1345" spans="1:2" hidden="1" x14ac:dyDescent="0.2">
      <c r="A1345" s="24" t="s">
        <v>148</v>
      </c>
      <c r="B1345" s="24" t="s">
        <v>149</v>
      </c>
    </row>
    <row r="1346" spans="1:2" hidden="1" x14ac:dyDescent="0.2">
      <c r="A1346" s="24" t="s">
        <v>150</v>
      </c>
      <c r="B1346" s="24" t="s">
        <v>151</v>
      </c>
    </row>
    <row r="1347" spans="1:2" hidden="1" x14ac:dyDescent="0.2">
      <c r="A1347" s="24" t="s">
        <v>152</v>
      </c>
      <c r="B1347" s="24" t="s">
        <v>153</v>
      </c>
    </row>
    <row r="1348" spans="1:2" hidden="1" x14ac:dyDescent="0.2">
      <c r="A1348" s="24" t="s">
        <v>154</v>
      </c>
      <c r="B1348" s="24" t="s">
        <v>2012</v>
      </c>
    </row>
    <row r="1349" spans="1:2" hidden="1" x14ac:dyDescent="0.2">
      <c r="A1349" s="24" t="s">
        <v>155</v>
      </c>
      <c r="B1349" s="24" t="s">
        <v>2013</v>
      </c>
    </row>
    <row r="1350" spans="1:2" hidden="1" x14ac:dyDescent="0.2">
      <c r="A1350" s="24" t="s">
        <v>156</v>
      </c>
      <c r="B1350" s="24" t="s">
        <v>2013</v>
      </c>
    </row>
    <row r="1351" spans="1:2" hidden="1" x14ac:dyDescent="0.2">
      <c r="A1351" s="24" t="s">
        <v>157</v>
      </c>
      <c r="B1351" s="24" t="s">
        <v>2014</v>
      </c>
    </row>
    <row r="1355" spans="1:2" hidden="1" x14ac:dyDescent="0.2">
      <c r="A1355" s="24">
        <v>4</v>
      </c>
      <c r="B1355" s="24" t="s">
        <v>1036</v>
      </c>
    </row>
    <row r="1356" spans="1:2" hidden="1" x14ac:dyDescent="0.2">
      <c r="A1356" s="24">
        <v>8</v>
      </c>
      <c r="B1356" s="24" t="s">
        <v>1037</v>
      </c>
    </row>
    <row r="1357" spans="1:2" hidden="1" x14ac:dyDescent="0.2">
      <c r="A1357" s="24">
        <v>10</v>
      </c>
      <c r="B1357" s="24" t="s">
        <v>1038</v>
      </c>
    </row>
    <row r="1358" spans="1:2" hidden="1" x14ac:dyDescent="0.2">
      <c r="A1358" s="24">
        <v>12</v>
      </c>
      <c r="B1358" s="24" t="s">
        <v>1039</v>
      </c>
    </row>
    <row r="1359" spans="1:2" hidden="1" x14ac:dyDescent="0.2">
      <c r="A1359" s="24">
        <v>16</v>
      </c>
      <c r="B1359" s="24" t="s">
        <v>1040</v>
      </c>
    </row>
    <row r="1360" spans="1:2" hidden="1" x14ac:dyDescent="0.2">
      <c r="A1360" s="24">
        <v>20</v>
      </c>
      <c r="B1360" s="24" t="s">
        <v>1041</v>
      </c>
    </row>
    <row r="1361" spans="1:2" hidden="1" x14ac:dyDescent="0.2">
      <c r="A1361" s="24">
        <v>24</v>
      </c>
      <c r="B1361" s="24" t="s">
        <v>1042</v>
      </c>
    </row>
    <row r="1362" spans="1:2" hidden="1" x14ac:dyDescent="0.2">
      <c r="A1362" s="24">
        <v>28</v>
      </c>
      <c r="B1362" s="24" t="s">
        <v>1043</v>
      </c>
    </row>
    <row r="1363" spans="1:2" hidden="1" x14ac:dyDescent="0.2">
      <c r="A1363" s="24">
        <v>31</v>
      </c>
      <c r="B1363" s="24" t="s">
        <v>1044</v>
      </c>
    </row>
    <row r="1364" spans="1:2" hidden="1" x14ac:dyDescent="0.2">
      <c r="A1364" s="24">
        <v>32</v>
      </c>
      <c r="B1364" s="24" t="s">
        <v>1045</v>
      </c>
    </row>
    <row r="1365" spans="1:2" hidden="1" x14ac:dyDescent="0.2">
      <c r="A1365" s="24">
        <v>36</v>
      </c>
      <c r="B1365" s="24" t="s">
        <v>1046</v>
      </c>
    </row>
    <row r="1366" spans="1:2" hidden="1" x14ac:dyDescent="0.2">
      <c r="A1366" s="24">
        <v>40</v>
      </c>
      <c r="B1366" s="24" t="s">
        <v>1047</v>
      </c>
    </row>
    <row r="1367" spans="1:2" hidden="1" x14ac:dyDescent="0.2">
      <c r="A1367" s="24">
        <v>44</v>
      </c>
      <c r="B1367" s="24" t="s">
        <v>1048</v>
      </c>
    </row>
    <row r="1368" spans="1:2" hidden="1" x14ac:dyDescent="0.2">
      <c r="A1368" s="24">
        <v>48</v>
      </c>
      <c r="B1368" s="24" t="s">
        <v>1049</v>
      </c>
    </row>
    <row r="1369" spans="1:2" hidden="1" x14ac:dyDescent="0.2">
      <c r="A1369" s="24">
        <v>50</v>
      </c>
      <c r="B1369" s="24" t="s">
        <v>1050</v>
      </c>
    </row>
    <row r="1370" spans="1:2" hidden="1" x14ac:dyDescent="0.2">
      <c r="A1370" s="24">
        <v>51</v>
      </c>
      <c r="B1370" s="24" t="s">
        <v>1051</v>
      </c>
    </row>
    <row r="1371" spans="1:2" hidden="1" x14ac:dyDescent="0.2">
      <c r="A1371" s="24">
        <v>52</v>
      </c>
      <c r="B1371" s="24" t="s">
        <v>1052</v>
      </c>
    </row>
    <row r="1372" spans="1:2" hidden="1" x14ac:dyDescent="0.2">
      <c r="A1372" s="24">
        <v>56</v>
      </c>
      <c r="B1372" s="24" t="s">
        <v>1053</v>
      </c>
    </row>
    <row r="1373" spans="1:2" hidden="1" x14ac:dyDescent="0.2">
      <c r="A1373" s="24">
        <v>60</v>
      </c>
      <c r="B1373" s="24" t="s">
        <v>1054</v>
      </c>
    </row>
    <row r="1374" spans="1:2" hidden="1" x14ac:dyDescent="0.2">
      <c r="A1374" s="24">
        <v>64</v>
      </c>
      <c r="B1374" s="24" t="s">
        <v>1055</v>
      </c>
    </row>
    <row r="1375" spans="1:2" hidden="1" x14ac:dyDescent="0.2">
      <c r="A1375" s="24">
        <v>68</v>
      </c>
      <c r="B1375" s="24" t="s">
        <v>1056</v>
      </c>
    </row>
    <row r="1376" spans="1:2" hidden="1" x14ac:dyDescent="0.2">
      <c r="A1376" s="24">
        <v>70</v>
      </c>
      <c r="B1376" s="24" t="s">
        <v>1057</v>
      </c>
    </row>
    <row r="1377" spans="1:2" hidden="1" x14ac:dyDescent="0.2">
      <c r="A1377" s="24">
        <v>72</v>
      </c>
      <c r="B1377" s="24" t="s">
        <v>1058</v>
      </c>
    </row>
    <row r="1378" spans="1:2" hidden="1" x14ac:dyDescent="0.2">
      <c r="A1378" s="24">
        <v>74</v>
      </c>
      <c r="B1378" s="24" t="s">
        <v>1059</v>
      </c>
    </row>
    <row r="1379" spans="1:2" hidden="1" x14ac:dyDescent="0.2">
      <c r="A1379" s="24">
        <v>76</v>
      </c>
      <c r="B1379" s="24" t="s">
        <v>1060</v>
      </c>
    </row>
    <row r="1380" spans="1:2" hidden="1" x14ac:dyDescent="0.2">
      <c r="A1380" s="24">
        <v>84</v>
      </c>
      <c r="B1380" s="24" t="s">
        <v>1061</v>
      </c>
    </row>
    <row r="1381" spans="1:2" hidden="1" x14ac:dyDescent="0.2">
      <c r="A1381" s="24">
        <v>86</v>
      </c>
      <c r="B1381" s="24" t="s">
        <v>510</v>
      </c>
    </row>
    <row r="1382" spans="1:2" hidden="1" x14ac:dyDescent="0.2">
      <c r="A1382" s="24">
        <v>90</v>
      </c>
      <c r="B1382" s="24" t="s">
        <v>511</v>
      </c>
    </row>
    <row r="1383" spans="1:2" hidden="1" x14ac:dyDescent="0.2">
      <c r="A1383" s="24">
        <v>92</v>
      </c>
      <c r="B1383" s="24" t="s">
        <v>512</v>
      </c>
    </row>
    <row r="1384" spans="1:2" hidden="1" x14ac:dyDescent="0.2">
      <c r="A1384" s="24">
        <v>95</v>
      </c>
      <c r="B1384" s="24" t="s">
        <v>513</v>
      </c>
    </row>
    <row r="1385" spans="1:2" hidden="1" x14ac:dyDescent="0.2">
      <c r="A1385" s="24">
        <v>96</v>
      </c>
      <c r="B1385" s="24" t="s">
        <v>514</v>
      </c>
    </row>
    <row r="1386" spans="1:2" hidden="1" x14ac:dyDescent="0.2">
      <c r="A1386" s="24">
        <v>100</v>
      </c>
      <c r="B1386" s="24" t="s">
        <v>515</v>
      </c>
    </row>
    <row r="1387" spans="1:2" hidden="1" x14ac:dyDescent="0.2">
      <c r="A1387" s="24">
        <v>104</v>
      </c>
      <c r="B1387" s="24" t="s">
        <v>516</v>
      </c>
    </row>
    <row r="1388" spans="1:2" hidden="1" x14ac:dyDescent="0.2">
      <c r="A1388" s="24">
        <v>108</v>
      </c>
      <c r="B1388" s="24" t="s">
        <v>517</v>
      </c>
    </row>
    <row r="1389" spans="1:2" hidden="1" x14ac:dyDescent="0.2">
      <c r="A1389" s="24">
        <v>112</v>
      </c>
      <c r="B1389" s="24" t="s">
        <v>518</v>
      </c>
    </row>
    <row r="1390" spans="1:2" hidden="1" x14ac:dyDescent="0.2">
      <c r="A1390" s="24">
        <v>116</v>
      </c>
      <c r="B1390" s="24" t="s">
        <v>519</v>
      </c>
    </row>
    <row r="1391" spans="1:2" hidden="1" x14ac:dyDescent="0.2">
      <c r="A1391" s="24">
        <v>120</v>
      </c>
      <c r="B1391" s="24" t="s">
        <v>520</v>
      </c>
    </row>
    <row r="1392" spans="1:2" hidden="1" x14ac:dyDescent="0.2">
      <c r="A1392" s="24">
        <v>124</v>
      </c>
      <c r="B1392" s="24" t="s">
        <v>521</v>
      </c>
    </row>
    <row r="1393" spans="1:2" hidden="1" x14ac:dyDescent="0.2">
      <c r="A1393" s="24">
        <v>132</v>
      </c>
      <c r="B1393" s="24" t="s">
        <v>522</v>
      </c>
    </row>
    <row r="1394" spans="1:2" hidden="1" x14ac:dyDescent="0.2">
      <c r="A1394" s="24">
        <v>136</v>
      </c>
      <c r="B1394" s="24" t="s">
        <v>523</v>
      </c>
    </row>
    <row r="1395" spans="1:2" hidden="1" x14ac:dyDescent="0.2">
      <c r="A1395" s="24">
        <v>140</v>
      </c>
      <c r="B1395" s="24" t="s">
        <v>1744</v>
      </c>
    </row>
    <row r="1396" spans="1:2" hidden="1" x14ac:dyDescent="0.2">
      <c r="A1396" s="24">
        <v>144</v>
      </c>
      <c r="B1396" s="24" t="s">
        <v>1745</v>
      </c>
    </row>
    <row r="1397" spans="1:2" hidden="1" x14ac:dyDescent="0.2">
      <c r="A1397" s="24">
        <v>148</v>
      </c>
      <c r="B1397" s="24" t="s">
        <v>1746</v>
      </c>
    </row>
    <row r="1398" spans="1:2" hidden="1" x14ac:dyDescent="0.2">
      <c r="A1398" s="24">
        <v>152</v>
      </c>
      <c r="B1398" s="24" t="s">
        <v>1747</v>
      </c>
    </row>
    <row r="1399" spans="1:2" hidden="1" x14ac:dyDescent="0.2">
      <c r="A1399" s="24">
        <v>156</v>
      </c>
      <c r="B1399" s="24" t="s">
        <v>1748</v>
      </c>
    </row>
    <row r="1400" spans="1:2" hidden="1" x14ac:dyDescent="0.2">
      <c r="A1400" s="24">
        <v>158</v>
      </c>
      <c r="B1400" s="24" t="s">
        <v>1749</v>
      </c>
    </row>
    <row r="1401" spans="1:2" hidden="1" x14ac:dyDescent="0.2">
      <c r="A1401" s="24">
        <v>162</v>
      </c>
      <c r="B1401" s="24" t="s">
        <v>1401</v>
      </c>
    </row>
    <row r="1402" spans="1:2" hidden="1" x14ac:dyDescent="0.2">
      <c r="A1402" s="24">
        <v>166</v>
      </c>
      <c r="B1402" s="24" t="s">
        <v>1402</v>
      </c>
    </row>
    <row r="1403" spans="1:2" hidden="1" x14ac:dyDescent="0.2">
      <c r="A1403" s="24">
        <v>170</v>
      </c>
      <c r="B1403" s="24" t="s">
        <v>1403</v>
      </c>
    </row>
    <row r="1404" spans="1:2" hidden="1" x14ac:dyDescent="0.2">
      <c r="A1404" s="24">
        <v>174</v>
      </c>
      <c r="B1404" s="24" t="s">
        <v>1404</v>
      </c>
    </row>
    <row r="1405" spans="1:2" hidden="1" x14ac:dyDescent="0.2">
      <c r="A1405" s="24">
        <v>175</v>
      </c>
      <c r="B1405" s="24" t="s">
        <v>1405</v>
      </c>
    </row>
    <row r="1406" spans="1:2" hidden="1" x14ac:dyDescent="0.2">
      <c r="A1406" s="24">
        <v>178</v>
      </c>
      <c r="B1406" s="24" t="s">
        <v>1406</v>
      </c>
    </row>
    <row r="1407" spans="1:2" hidden="1" x14ac:dyDescent="0.2">
      <c r="A1407" s="24">
        <v>180</v>
      </c>
      <c r="B1407" s="24" t="s">
        <v>1407</v>
      </c>
    </row>
    <row r="1408" spans="1:2" hidden="1" x14ac:dyDescent="0.2">
      <c r="A1408" s="24">
        <v>184</v>
      </c>
      <c r="B1408" s="24" t="s">
        <v>1408</v>
      </c>
    </row>
    <row r="1409" spans="1:2" hidden="1" x14ac:dyDescent="0.2">
      <c r="A1409" s="24">
        <v>188</v>
      </c>
      <c r="B1409" s="24" t="s">
        <v>1409</v>
      </c>
    </row>
    <row r="1410" spans="1:2" hidden="1" x14ac:dyDescent="0.2">
      <c r="A1410" s="24">
        <v>192</v>
      </c>
      <c r="B1410" s="24" t="s">
        <v>1410</v>
      </c>
    </row>
    <row r="1411" spans="1:2" hidden="1" x14ac:dyDescent="0.2">
      <c r="A1411" s="24">
        <v>196</v>
      </c>
      <c r="B1411" s="24" t="s">
        <v>1411</v>
      </c>
    </row>
    <row r="1412" spans="1:2" hidden="1" x14ac:dyDescent="0.2">
      <c r="A1412" s="24">
        <v>203</v>
      </c>
      <c r="B1412" s="24" t="s">
        <v>1412</v>
      </c>
    </row>
    <row r="1413" spans="1:2" hidden="1" x14ac:dyDescent="0.2">
      <c r="A1413" s="24">
        <v>204</v>
      </c>
      <c r="B1413" s="24" t="s">
        <v>1413</v>
      </c>
    </row>
    <row r="1414" spans="1:2" hidden="1" x14ac:dyDescent="0.2">
      <c r="A1414" s="24">
        <v>208</v>
      </c>
      <c r="B1414" s="24" t="s">
        <v>1414</v>
      </c>
    </row>
    <row r="1415" spans="1:2" hidden="1" x14ac:dyDescent="0.2">
      <c r="A1415" s="24">
        <v>212</v>
      </c>
      <c r="B1415" s="24" t="s">
        <v>1415</v>
      </c>
    </row>
    <row r="1416" spans="1:2" hidden="1" x14ac:dyDescent="0.2">
      <c r="A1416" s="24">
        <v>214</v>
      </c>
      <c r="B1416" s="24" t="s">
        <v>1416</v>
      </c>
    </row>
    <row r="1417" spans="1:2" hidden="1" x14ac:dyDescent="0.2">
      <c r="A1417" s="24">
        <v>218</v>
      </c>
      <c r="B1417" s="24" t="s">
        <v>1417</v>
      </c>
    </row>
    <row r="1418" spans="1:2" hidden="1" x14ac:dyDescent="0.2">
      <c r="A1418" s="24">
        <v>222</v>
      </c>
      <c r="B1418" s="24" t="s">
        <v>1418</v>
      </c>
    </row>
    <row r="1419" spans="1:2" hidden="1" x14ac:dyDescent="0.2">
      <c r="A1419" s="24">
        <v>226</v>
      </c>
      <c r="B1419" s="24" t="s">
        <v>1419</v>
      </c>
    </row>
    <row r="1420" spans="1:2" hidden="1" x14ac:dyDescent="0.2">
      <c r="A1420" s="24">
        <v>231</v>
      </c>
      <c r="B1420" s="24" t="s">
        <v>1420</v>
      </c>
    </row>
    <row r="1421" spans="1:2" hidden="1" x14ac:dyDescent="0.2">
      <c r="A1421" s="24">
        <v>232</v>
      </c>
      <c r="B1421" s="24" t="s">
        <v>1421</v>
      </c>
    </row>
    <row r="1422" spans="1:2" hidden="1" x14ac:dyDescent="0.2">
      <c r="A1422" s="24">
        <v>233</v>
      </c>
      <c r="B1422" s="24" t="s">
        <v>1422</v>
      </c>
    </row>
    <row r="1423" spans="1:2" hidden="1" x14ac:dyDescent="0.2">
      <c r="A1423" s="24">
        <v>234</v>
      </c>
      <c r="B1423" s="24" t="s">
        <v>1423</v>
      </c>
    </row>
    <row r="1424" spans="1:2" hidden="1" x14ac:dyDescent="0.2">
      <c r="A1424" s="24">
        <v>238</v>
      </c>
      <c r="B1424" s="24" t="s">
        <v>1424</v>
      </c>
    </row>
    <row r="1425" spans="1:2" hidden="1" x14ac:dyDescent="0.2">
      <c r="A1425" s="24">
        <v>239</v>
      </c>
      <c r="B1425" s="24" t="s">
        <v>1146</v>
      </c>
    </row>
    <row r="1426" spans="1:2" hidden="1" x14ac:dyDescent="0.2">
      <c r="A1426" s="24">
        <v>242</v>
      </c>
      <c r="B1426" s="24" t="s">
        <v>1147</v>
      </c>
    </row>
    <row r="1427" spans="1:2" hidden="1" x14ac:dyDescent="0.2">
      <c r="A1427" s="24">
        <v>246</v>
      </c>
      <c r="B1427" s="24" t="s">
        <v>1148</v>
      </c>
    </row>
    <row r="1428" spans="1:2" hidden="1" x14ac:dyDescent="0.2">
      <c r="A1428" s="24">
        <v>248</v>
      </c>
      <c r="B1428" s="24" t="s">
        <v>1149</v>
      </c>
    </row>
    <row r="1429" spans="1:2" hidden="1" x14ac:dyDescent="0.2">
      <c r="A1429" s="24">
        <v>250</v>
      </c>
      <c r="B1429" s="24" t="s">
        <v>1150</v>
      </c>
    </row>
    <row r="1430" spans="1:2" hidden="1" x14ac:dyDescent="0.2">
      <c r="A1430" s="24">
        <v>254</v>
      </c>
      <c r="B1430" s="24" t="s">
        <v>1151</v>
      </c>
    </row>
    <row r="1431" spans="1:2" hidden="1" x14ac:dyDescent="0.2">
      <c r="A1431" s="24">
        <v>258</v>
      </c>
      <c r="B1431" s="24" t="s">
        <v>1152</v>
      </c>
    </row>
    <row r="1432" spans="1:2" hidden="1" x14ac:dyDescent="0.2">
      <c r="A1432" s="24">
        <v>260</v>
      </c>
      <c r="B1432" s="24" t="s">
        <v>1153</v>
      </c>
    </row>
    <row r="1433" spans="1:2" hidden="1" x14ac:dyDescent="0.2">
      <c r="A1433" s="24">
        <v>262</v>
      </c>
      <c r="B1433" s="24" t="s">
        <v>1154</v>
      </c>
    </row>
    <row r="1434" spans="1:2" hidden="1" x14ac:dyDescent="0.2">
      <c r="A1434" s="24">
        <v>266</v>
      </c>
      <c r="B1434" s="24" t="s">
        <v>1155</v>
      </c>
    </row>
    <row r="1435" spans="1:2" hidden="1" x14ac:dyDescent="0.2">
      <c r="A1435" s="24">
        <v>268</v>
      </c>
      <c r="B1435" s="24" t="s">
        <v>1156</v>
      </c>
    </row>
    <row r="1436" spans="1:2" hidden="1" x14ac:dyDescent="0.2">
      <c r="A1436" s="24">
        <v>270</v>
      </c>
      <c r="B1436" s="24" t="s">
        <v>1157</v>
      </c>
    </row>
    <row r="1437" spans="1:2" hidden="1" x14ac:dyDescent="0.2">
      <c r="A1437" s="24">
        <v>275</v>
      </c>
      <c r="B1437" s="24" t="s">
        <v>1158</v>
      </c>
    </row>
    <row r="1438" spans="1:2" hidden="1" x14ac:dyDescent="0.2">
      <c r="A1438" s="24">
        <v>276</v>
      </c>
      <c r="B1438" s="24" t="s">
        <v>1159</v>
      </c>
    </row>
    <row r="1439" spans="1:2" hidden="1" x14ac:dyDescent="0.2">
      <c r="A1439" s="24">
        <v>288</v>
      </c>
      <c r="B1439" s="24" t="s">
        <v>1160</v>
      </c>
    </row>
    <row r="1440" spans="1:2" hidden="1" x14ac:dyDescent="0.2">
      <c r="A1440" s="24">
        <v>292</v>
      </c>
      <c r="B1440" s="24" t="s">
        <v>1161</v>
      </c>
    </row>
    <row r="1441" spans="1:2" hidden="1" x14ac:dyDescent="0.2">
      <c r="A1441" s="24">
        <v>296</v>
      </c>
      <c r="B1441" s="24" t="s">
        <v>1162</v>
      </c>
    </row>
    <row r="1442" spans="1:2" hidden="1" x14ac:dyDescent="0.2">
      <c r="A1442" s="24">
        <v>300</v>
      </c>
      <c r="B1442" s="24" t="s">
        <v>1163</v>
      </c>
    </row>
    <row r="1443" spans="1:2" hidden="1" x14ac:dyDescent="0.2">
      <c r="A1443" s="24">
        <v>304</v>
      </c>
      <c r="B1443" s="24" t="s">
        <v>1164</v>
      </c>
    </row>
    <row r="1444" spans="1:2" hidden="1" x14ac:dyDescent="0.2">
      <c r="A1444" s="24">
        <v>308</v>
      </c>
      <c r="B1444" s="24" t="s">
        <v>1165</v>
      </c>
    </row>
    <row r="1445" spans="1:2" hidden="1" x14ac:dyDescent="0.2">
      <c r="A1445" s="24">
        <v>312</v>
      </c>
      <c r="B1445" s="24" t="s">
        <v>1166</v>
      </c>
    </row>
    <row r="1446" spans="1:2" hidden="1" x14ac:dyDescent="0.2">
      <c r="A1446" s="24">
        <v>316</v>
      </c>
      <c r="B1446" s="24" t="s">
        <v>1167</v>
      </c>
    </row>
    <row r="1447" spans="1:2" hidden="1" x14ac:dyDescent="0.2">
      <c r="A1447" s="24">
        <v>320</v>
      </c>
      <c r="B1447" s="24" t="s">
        <v>1168</v>
      </c>
    </row>
    <row r="1448" spans="1:2" hidden="1" x14ac:dyDescent="0.2">
      <c r="A1448" s="24">
        <v>324</v>
      </c>
      <c r="B1448" s="24" t="s">
        <v>1169</v>
      </c>
    </row>
    <row r="1449" spans="1:2" hidden="1" x14ac:dyDescent="0.2">
      <c r="A1449" s="24">
        <v>328</v>
      </c>
      <c r="B1449" s="24" t="s">
        <v>1170</v>
      </c>
    </row>
    <row r="1450" spans="1:2" hidden="1" x14ac:dyDescent="0.2">
      <c r="A1450" s="24">
        <v>332</v>
      </c>
      <c r="B1450" s="24" t="s">
        <v>1171</v>
      </c>
    </row>
    <row r="1451" spans="1:2" hidden="1" x14ac:dyDescent="0.2">
      <c r="A1451" s="24">
        <v>334</v>
      </c>
      <c r="B1451" s="24" t="s">
        <v>1172</v>
      </c>
    </row>
    <row r="1452" spans="1:2" hidden="1" x14ac:dyDescent="0.2">
      <c r="A1452" s="24">
        <v>336</v>
      </c>
      <c r="B1452" s="24" t="s">
        <v>1173</v>
      </c>
    </row>
    <row r="1453" spans="1:2" hidden="1" x14ac:dyDescent="0.2">
      <c r="A1453" s="24">
        <v>340</v>
      </c>
      <c r="B1453" s="24" t="s">
        <v>1174</v>
      </c>
    </row>
    <row r="1454" spans="1:2" hidden="1" x14ac:dyDescent="0.2">
      <c r="A1454" s="24">
        <v>344</v>
      </c>
      <c r="B1454" s="24" t="s">
        <v>1175</v>
      </c>
    </row>
    <row r="1455" spans="1:2" hidden="1" x14ac:dyDescent="0.2">
      <c r="A1455" s="24">
        <v>348</v>
      </c>
      <c r="B1455" s="24" t="s">
        <v>1176</v>
      </c>
    </row>
    <row r="1456" spans="1:2" hidden="1" x14ac:dyDescent="0.2">
      <c r="A1456" s="24">
        <v>352</v>
      </c>
      <c r="B1456" s="24" t="s">
        <v>1177</v>
      </c>
    </row>
    <row r="1457" spans="1:2" hidden="1" x14ac:dyDescent="0.2">
      <c r="A1457" s="24">
        <v>356</v>
      </c>
      <c r="B1457" s="24" t="s">
        <v>1178</v>
      </c>
    </row>
    <row r="1458" spans="1:2" hidden="1" x14ac:dyDescent="0.2">
      <c r="A1458" s="24">
        <v>360</v>
      </c>
      <c r="B1458" s="24" t="s">
        <v>1179</v>
      </c>
    </row>
    <row r="1459" spans="1:2" hidden="1" x14ac:dyDescent="0.2">
      <c r="A1459" s="24">
        <v>364</v>
      </c>
      <c r="B1459" s="24" t="s">
        <v>1180</v>
      </c>
    </row>
    <row r="1460" spans="1:2" hidden="1" x14ac:dyDescent="0.2">
      <c r="A1460" s="24">
        <v>368</v>
      </c>
      <c r="B1460" s="24" t="s">
        <v>1181</v>
      </c>
    </row>
    <row r="1461" spans="1:2" hidden="1" x14ac:dyDescent="0.2">
      <c r="A1461" s="24">
        <v>372</v>
      </c>
      <c r="B1461" s="24" t="s">
        <v>1182</v>
      </c>
    </row>
    <row r="1462" spans="1:2" hidden="1" x14ac:dyDescent="0.2">
      <c r="A1462" s="24">
        <v>376</v>
      </c>
      <c r="B1462" s="24" t="s">
        <v>1183</v>
      </c>
    </row>
    <row r="1463" spans="1:2" hidden="1" x14ac:dyDescent="0.2">
      <c r="A1463" s="24">
        <v>380</v>
      </c>
      <c r="B1463" s="24" t="s">
        <v>1184</v>
      </c>
    </row>
    <row r="1464" spans="1:2" hidden="1" x14ac:dyDescent="0.2">
      <c r="A1464" s="24">
        <v>384</v>
      </c>
      <c r="B1464" s="24" t="s">
        <v>1185</v>
      </c>
    </row>
    <row r="1465" spans="1:2" hidden="1" x14ac:dyDescent="0.2">
      <c r="A1465" s="24">
        <v>388</v>
      </c>
      <c r="B1465" s="24" t="s">
        <v>1186</v>
      </c>
    </row>
    <row r="1466" spans="1:2" hidden="1" x14ac:dyDescent="0.2">
      <c r="A1466" s="24">
        <v>392</v>
      </c>
      <c r="B1466" s="24" t="s">
        <v>1187</v>
      </c>
    </row>
    <row r="1467" spans="1:2" hidden="1" x14ac:dyDescent="0.2">
      <c r="A1467" s="24">
        <v>398</v>
      </c>
      <c r="B1467" s="24" t="s">
        <v>1188</v>
      </c>
    </row>
    <row r="1468" spans="1:2" hidden="1" x14ac:dyDescent="0.2">
      <c r="A1468" s="24">
        <v>400</v>
      </c>
      <c r="B1468" s="24" t="s">
        <v>1189</v>
      </c>
    </row>
    <row r="1469" spans="1:2" hidden="1" x14ac:dyDescent="0.2">
      <c r="A1469" s="24">
        <v>404</v>
      </c>
      <c r="B1469" s="24" t="s">
        <v>1190</v>
      </c>
    </row>
    <row r="1470" spans="1:2" hidden="1" x14ac:dyDescent="0.2">
      <c r="A1470" s="24">
        <v>408</v>
      </c>
      <c r="B1470" s="24" t="s">
        <v>1191</v>
      </c>
    </row>
    <row r="1471" spans="1:2" hidden="1" x14ac:dyDescent="0.2">
      <c r="A1471" s="24">
        <v>410</v>
      </c>
      <c r="B1471" s="24" t="s">
        <v>1192</v>
      </c>
    </row>
    <row r="1472" spans="1:2" hidden="1" x14ac:dyDescent="0.2">
      <c r="A1472" s="24">
        <v>414</v>
      </c>
      <c r="B1472" s="24" t="s">
        <v>1193</v>
      </c>
    </row>
    <row r="1473" spans="1:2" hidden="1" x14ac:dyDescent="0.2">
      <c r="A1473" s="24">
        <v>417</v>
      </c>
      <c r="B1473" s="24" t="s">
        <v>1194</v>
      </c>
    </row>
    <row r="1474" spans="1:2" hidden="1" x14ac:dyDescent="0.2">
      <c r="A1474" s="24">
        <v>418</v>
      </c>
      <c r="B1474" s="24" t="s">
        <v>1195</v>
      </c>
    </row>
    <row r="1475" spans="1:2" hidden="1" x14ac:dyDescent="0.2">
      <c r="A1475" s="24">
        <v>422</v>
      </c>
      <c r="B1475" s="24" t="s">
        <v>1196</v>
      </c>
    </row>
    <row r="1476" spans="1:2" hidden="1" x14ac:dyDescent="0.2">
      <c r="A1476" s="24">
        <v>426</v>
      </c>
      <c r="B1476" s="24" t="s">
        <v>1197</v>
      </c>
    </row>
    <row r="1477" spans="1:2" hidden="1" x14ac:dyDescent="0.2">
      <c r="A1477" s="24">
        <v>428</v>
      </c>
      <c r="B1477" s="24" t="s">
        <v>1198</v>
      </c>
    </row>
    <row r="1478" spans="1:2" hidden="1" x14ac:dyDescent="0.2">
      <c r="A1478" s="24">
        <v>430</v>
      </c>
      <c r="B1478" s="24" t="s">
        <v>1199</v>
      </c>
    </row>
    <row r="1479" spans="1:2" hidden="1" x14ac:dyDescent="0.2">
      <c r="A1479" s="24">
        <v>434</v>
      </c>
      <c r="B1479" s="24" t="s">
        <v>1200</v>
      </c>
    </row>
    <row r="1480" spans="1:2" hidden="1" x14ac:dyDescent="0.2">
      <c r="A1480" s="24">
        <v>438</v>
      </c>
      <c r="B1480" s="24" t="s">
        <v>1201</v>
      </c>
    </row>
    <row r="1481" spans="1:2" hidden="1" x14ac:dyDescent="0.2">
      <c r="A1481" s="24">
        <v>440</v>
      </c>
      <c r="B1481" s="24" t="s">
        <v>1268</v>
      </c>
    </row>
    <row r="1482" spans="1:2" hidden="1" x14ac:dyDescent="0.2">
      <c r="A1482" s="24">
        <v>442</v>
      </c>
      <c r="B1482" s="24" t="s">
        <v>1269</v>
      </c>
    </row>
    <row r="1483" spans="1:2" hidden="1" x14ac:dyDescent="0.2">
      <c r="A1483" s="24">
        <v>446</v>
      </c>
      <c r="B1483" s="24" t="s">
        <v>1789</v>
      </c>
    </row>
    <row r="1484" spans="1:2" hidden="1" x14ac:dyDescent="0.2">
      <c r="A1484" s="24">
        <v>450</v>
      </c>
      <c r="B1484" s="24" t="s">
        <v>1790</v>
      </c>
    </row>
    <row r="1485" spans="1:2" hidden="1" x14ac:dyDescent="0.2">
      <c r="A1485" s="24">
        <v>454</v>
      </c>
      <c r="B1485" s="24" t="s">
        <v>1791</v>
      </c>
    </row>
    <row r="1486" spans="1:2" hidden="1" x14ac:dyDescent="0.2">
      <c r="A1486" s="24">
        <v>458</v>
      </c>
      <c r="B1486" s="24" t="s">
        <v>1792</v>
      </c>
    </row>
    <row r="1487" spans="1:2" hidden="1" x14ac:dyDescent="0.2">
      <c r="A1487" s="24">
        <v>462</v>
      </c>
      <c r="B1487" s="24" t="s">
        <v>1793</v>
      </c>
    </row>
    <row r="1488" spans="1:2" hidden="1" x14ac:dyDescent="0.2">
      <c r="A1488" s="24">
        <v>466</v>
      </c>
      <c r="B1488" s="24" t="s">
        <v>1794</v>
      </c>
    </row>
    <row r="1489" spans="1:2" hidden="1" x14ac:dyDescent="0.2">
      <c r="A1489" s="24">
        <v>470</v>
      </c>
      <c r="B1489" s="24" t="s">
        <v>1795</v>
      </c>
    </row>
    <row r="1490" spans="1:2" hidden="1" x14ac:dyDescent="0.2">
      <c r="A1490" s="24">
        <v>474</v>
      </c>
      <c r="B1490" s="24" t="s">
        <v>1796</v>
      </c>
    </row>
    <row r="1491" spans="1:2" hidden="1" x14ac:dyDescent="0.2">
      <c r="A1491" s="24">
        <v>478</v>
      </c>
      <c r="B1491" s="24" t="s">
        <v>1797</v>
      </c>
    </row>
    <row r="1492" spans="1:2" hidden="1" x14ac:dyDescent="0.2">
      <c r="A1492" s="24">
        <v>480</v>
      </c>
      <c r="B1492" s="24" t="s">
        <v>1798</v>
      </c>
    </row>
    <row r="1493" spans="1:2" hidden="1" x14ac:dyDescent="0.2">
      <c r="A1493" s="24">
        <v>484</v>
      </c>
      <c r="B1493" s="24" t="s">
        <v>1799</v>
      </c>
    </row>
    <row r="1494" spans="1:2" hidden="1" x14ac:dyDescent="0.2">
      <c r="A1494" s="24">
        <v>492</v>
      </c>
      <c r="B1494" s="24" t="s">
        <v>1800</v>
      </c>
    </row>
    <row r="1495" spans="1:2" hidden="1" x14ac:dyDescent="0.2">
      <c r="A1495" s="24">
        <v>496</v>
      </c>
      <c r="B1495" s="24" t="s">
        <v>1801</v>
      </c>
    </row>
    <row r="1496" spans="1:2" hidden="1" x14ac:dyDescent="0.2">
      <c r="A1496" s="24">
        <v>498</v>
      </c>
      <c r="B1496" s="24" t="s">
        <v>1802</v>
      </c>
    </row>
    <row r="1497" spans="1:2" hidden="1" x14ac:dyDescent="0.2">
      <c r="A1497" s="24">
        <v>499</v>
      </c>
      <c r="B1497" s="24" t="s">
        <v>1803</v>
      </c>
    </row>
    <row r="1498" spans="1:2" hidden="1" x14ac:dyDescent="0.2">
      <c r="A1498" s="24">
        <v>500</v>
      </c>
      <c r="B1498" s="24" t="s">
        <v>1804</v>
      </c>
    </row>
    <row r="1499" spans="1:2" hidden="1" x14ac:dyDescent="0.2">
      <c r="A1499" s="24">
        <v>504</v>
      </c>
      <c r="B1499" s="24" t="s">
        <v>1805</v>
      </c>
    </row>
    <row r="1500" spans="1:2" hidden="1" x14ac:dyDescent="0.2">
      <c r="A1500" s="24">
        <v>508</v>
      </c>
      <c r="B1500" s="24" t="s">
        <v>1806</v>
      </c>
    </row>
    <row r="1501" spans="1:2" hidden="1" x14ac:dyDescent="0.2">
      <c r="A1501" s="24">
        <v>512</v>
      </c>
      <c r="B1501" s="24" t="s">
        <v>1807</v>
      </c>
    </row>
    <row r="1502" spans="1:2" hidden="1" x14ac:dyDescent="0.2">
      <c r="A1502" s="24">
        <v>516</v>
      </c>
      <c r="B1502" s="24" t="s">
        <v>1808</v>
      </c>
    </row>
    <row r="1503" spans="1:2" hidden="1" x14ac:dyDescent="0.2">
      <c r="A1503" s="24">
        <v>520</v>
      </c>
      <c r="B1503" s="24" t="s">
        <v>1809</v>
      </c>
    </row>
    <row r="1504" spans="1:2" hidden="1" x14ac:dyDescent="0.2">
      <c r="A1504" s="24">
        <v>524</v>
      </c>
      <c r="B1504" s="24" t="s">
        <v>1810</v>
      </c>
    </row>
    <row r="1505" spans="1:2" hidden="1" x14ac:dyDescent="0.2">
      <c r="A1505" s="24">
        <v>528</v>
      </c>
      <c r="B1505" s="24" t="s">
        <v>1811</v>
      </c>
    </row>
    <row r="1506" spans="1:2" hidden="1" x14ac:dyDescent="0.2">
      <c r="A1506" s="24">
        <v>531</v>
      </c>
      <c r="B1506" s="24" t="s">
        <v>1812</v>
      </c>
    </row>
    <row r="1507" spans="1:2" hidden="1" x14ac:dyDescent="0.2">
      <c r="A1507" s="24">
        <v>533</v>
      </c>
      <c r="B1507" s="24" t="s">
        <v>1813</v>
      </c>
    </row>
    <row r="1508" spans="1:2" hidden="1" x14ac:dyDescent="0.2">
      <c r="A1508" s="24">
        <v>534</v>
      </c>
      <c r="B1508" s="24" t="s">
        <v>1814</v>
      </c>
    </row>
    <row r="1509" spans="1:2" hidden="1" x14ac:dyDescent="0.2">
      <c r="A1509" s="24">
        <v>535</v>
      </c>
      <c r="B1509" s="24" t="s">
        <v>1815</v>
      </c>
    </row>
    <row r="1510" spans="1:2" hidden="1" x14ac:dyDescent="0.2">
      <c r="A1510" s="24">
        <v>540</v>
      </c>
      <c r="B1510" s="24" t="s">
        <v>1816</v>
      </c>
    </row>
    <row r="1511" spans="1:2" hidden="1" x14ac:dyDescent="0.2">
      <c r="A1511" s="24">
        <v>548</v>
      </c>
      <c r="B1511" s="24" t="s">
        <v>1817</v>
      </c>
    </row>
    <row r="1512" spans="1:2" hidden="1" x14ac:dyDescent="0.2">
      <c r="A1512" s="24">
        <v>554</v>
      </c>
      <c r="B1512" s="24" t="s">
        <v>1862</v>
      </c>
    </row>
    <row r="1513" spans="1:2" hidden="1" x14ac:dyDescent="0.2">
      <c r="A1513" s="24">
        <v>558</v>
      </c>
      <c r="B1513" s="24" t="s">
        <v>1863</v>
      </c>
    </row>
    <row r="1514" spans="1:2" hidden="1" x14ac:dyDescent="0.2">
      <c r="A1514" s="24">
        <v>562</v>
      </c>
      <c r="B1514" s="24" t="s">
        <v>1864</v>
      </c>
    </row>
    <row r="1515" spans="1:2" hidden="1" x14ac:dyDescent="0.2">
      <c r="A1515" s="24">
        <v>566</v>
      </c>
      <c r="B1515" s="24" t="s">
        <v>2711</v>
      </c>
    </row>
    <row r="1516" spans="1:2" hidden="1" x14ac:dyDescent="0.2">
      <c r="A1516" s="24">
        <v>570</v>
      </c>
      <c r="B1516" s="24" t="s">
        <v>2712</v>
      </c>
    </row>
    <row r="1517" spans="1:2" hidden="1" x14ac:dyDescent="0.2">
      <c r="A1517" s="24">
        <v>574</v>
      </c>
      <c r="B1517" s="24" t="s">
        <v>2713</v>
      </c>
    </row>
    <row r="1518" spans="1:2" hidden="1" x14ac:dyDescent="0.2">
      <c r="A1518" s="24">
        <v>578</v>
      </c>
      <c r="B1518" s="24" t="s">
        <v>2714</v>
      </c>
    </row>
    <row r="1519" spans="1:2" hidden="1" x14ac:dyDescent="0.2">
      <c r="A1519" s="24">
        <v>580</v>
      </c>
      <c r="B1519" s="24" t="s">
        <v>2715</v>
      </c>
    </row>
    <row r="1520" spans="1:2" hidden="1" x14ac:dyDescent="0.2">
      <c r="A1520" s="24">
        <v>581</v>
      </c>
      <c r="B1520" s="24" t="s">
        <v>2716</v>
      </c>
    </row>
    <row r="1521" spans="1:2" hidden="1" x14ac:dyDescent="0.2">
      <c r="A1521" s="24">
        <v>583</v>
      </c>
      <c r="B1521" s="24" t="s">
        <v>2717</v>
      </c>
    </row>
    <row r="1522" spans="1:2" hidden="1" x14ac:dyDescent="0.2">
      <c r="A1522" s="24">
        <v>584</v>
      </c>
      <c r="B1522" s="24" t="s">
        <v>2718</v>
      </c>
    </row>
    <row r="1523" spans="1:2" hidden="1" x14ac:dyDescent="0.2">
      <c r="A1523" s="24">
        <v>585</v>
      </c>
      <c r="B1523" s="24" t="s">
        <v>2719</v>
      </c>
    </row>
    <row r="1524" spans="1:2" hidden="1" x14ac:dyDescent="0.2">
      <c r="A1524" s="24">
        <v>586</v>
      </c>
      <c r="B1524" s="24" t="s">
        <v>2720</v>
      </c>
    </row>
    <row r="1525" spans="1:2" hidden="1" x14ac:dyDescent="0.2">
      <c r="A1525" s="24">
        <v>591</v>
      </c>
      <c r="B1525" s="24" t="s">
        <v>2721</v>
      </c>
    </row>
    <row r="1526" spans="1:2" hidden="1" x14ac:dyDescent="0.2">
      <c r="A1526" s="24">
        <v>598</v>
      </c>
      <c r="B1526" s="24" t="s">
        <v>2722</v>
      </c>
    </row>
    <row r="1527" spans="1:2" hidden="1" x14ac:dyDescent="0.2">
      <c r="A1527" s="24">
        <v>600</v>
      </c>
      <c r="B1527" s="24" t="s">
        <v>2723</v>
      </c>
    </row>
    <row r="1528" spans="1:2" hidden="1" x14ac:dyDescent="0.2">
      <c r="A1528" s="24">
        <v>604</v>
      </c>
      <c r="B1528" s="24" t="s">
        <v>2724</v>
      </c>
    </row>
    <row r="1529" spans="1:2" hidden="1" x14ac:dyDescent="0.2">
      <c r="A1529" s="24">
        <v>608</v>
      </c>
      <c r="B1529" s="24" t="s">
        <v>2725</v>
      </c>
    </row>
    <row r="1530" spans="1:2" hidden="1" x14ac:dyDescent="0.2">
      <c r="A1530" s="24">
        <v>612</v>
      </c>
      <c r="B1530" s="24" t="s">
        <v>2726</v>
      </c>
    </row>
    <row r="1531" spans="1:2" hidden="1" x14ac:dyDescent="0.2">
      <c r="A1531" s="24">
        <v>616</v>
      </c>
      <c r="B1531" s="24" t="s">
        <v>2727</v>
      </c>
    </row>
    <row r="1532" spans="1:2" hidden="1" x14ac:dyDescent="0.2">
      <c r="A1532" s="24">
        <v>620</v>
      </c>
      <c r="B1532" s="24" t="s">
        <v>2728</v>
      </c>
    </row>
    <row r="1533" spans="1:2" hidden="1" x14ac:dyDescent="0.2">
      <c r="A1533" s="24">
        <v>624</v>
      </c>
      <c r="B1533" s="24" t="s">
        <v>2729</v>
      </c>
    </row>
    <row r="1534" spans="1:2" hidden="1" x14ac:dyDescent="0.2">
      <c r="A1534" s="24">
        <v>626</v>
      </c>
      <c r="B1534" s="24" t="s">
        <v>2730</v>
      </c>
    </row>
    <row r="1535" spans="1:2" hidden="1" x14ac:dyDescent="0.2">
      <c r="A1535" s="24">
        <v>630</v>
      </c>
      <c r="B1535" s="24" t="s">
        <v>2731</v>
      </c>
    </row>
    <row r="1536" spans="1:2" hidden="1" x14ac:dyDescent="0.2">
      <c r="A1536" s="24">
        <v>634</v>
      </c>
      <c r="B1536" s="24" t="s">
        <v>2732</v>
      </c>
    </row>
    <row r="1537" spans="1:2" hidden="1" x14ac:dyDescent="0.2">
      <c r="A1537" s="24">
        <v>638</v>
      </c>
      <c r="B1537" s="24" t="s">
        <v>2733</v>
      </c>
    </row>
    <row r="1538" spans="1:2" hidden="1" x14ac:dyDescent="0.2">
      <c r="A1538" s="24">
        <v>642</v>
      </c>
      <c r="B1538" s="24" t="s">
        <v>2734</v>
      </c>
    </row>
    <row r="1539" spans="1:2" hidden="1" x14ac:dyDescent="0.2">
      <c r="A1539" s="24">
        <v>643</v>
      </c>
      <c r="B1539" s="24" t="s">
        <v>2735</v>
      </c>
    </row>
    <row r="1540" spans="1:2" hidden="1" x14ac:dyDescent="0.2">
      <c r="A1540" s="24">
        <v>646</v>
      </c>
      <c r="B1540" s="24" t="s">
        <v>2564</v>
      </c>
    </row>
    <row r="1541" spans="1:2" hidden="1" x14ac:dyDescent="0.2">
      <c r="A1541" s="24">
        <v>652</v>
      </c>
      <c r="B1541" s="24" t="s">
        <v>2565</v>
      </c>
    </row>
    <row r="1542" spans="1:2" hidden="1" x14ac:dyDescent="0.2">
      <c r="A1542" s="24">
        <v>654</v>
      </c>
      <c r="B1542" s="24" t="s">
        <v>2566</v>
      </c>
    </row>
    <row r="1543" spans="1:2" hidden="1" x14ac:dyDescent="0.2">
      <c r="A1543" s="24">
        <v>659</v>
      </c>
      <c r="B1543" s="24" t="s">
        <v>2567</v>
      </c>
    </row>
    <row r="1544" spans="1:2" hidden="1" x14ac:dyDescent="0.2">
      <c r="A1544" s="24">
        <v>660</v>
      </c>
      <c r="B1544" s="24" t="s">
        <v>2568</v>
      </c>
    </row>
    <row r="1545" spans="1:2" hidden="1" x14ac:dyDescent="0.2">
      <c r="A1545" s="24">
        <v>662</v>
      </c>
      <c r="B1545" s="24" t="s">
        <v>2569</v>
      </c>
    </row>
    <row r="1546" spans="1:2" hidden="1" x14ac:dyDescent="0.2">
      <c r="A1546" s="24">
        <v>663</v>
      </c>
      <c r="B1546" s="24" t="s">
        <v>2570</v>
      </c>
    </row>
    <row r="1547" spans="1:2" hidden="1" x14ac:dyDescent="0.2">
      <c r="A1547" s="24">
        <v>666</v>
      </c>
      <c r="B1547" s="24" t="s">
        <v>2571</v>
      </c>
    </row>
    <row r="1548" spans="1:2" hidden="1" x14ac:dyDescent="0.2">
      <c r="A1548" s="24">
        <v>670</v>
      </c>
      <c r="B1548" s="24" t="s">
        <v>2572</v>
      </c>
    </row>
    <row r="1549" spans="1:2" hidden="1" x14ac:dyDescent="0.2">
      <c r="A1549" s="24">
        <v>674</v>
      </c>
      <c r="B1549" s="24" t="s">
        <v>2573</v>
      </c>
    </row>
    <row r="1550" spans="1:2" hidden="1" x14ac:dyDescent="0.2">
      <c r="A1550" s="24">
        <v>678</v>
      </c>
      <c r="B1550" s="24" t="s">
        <v>2574</v>
      </c>
    </row>
    <row r="1551" spans="1:2" hidden="1" x14ac:dyDescent="0.2">
      <c r="A1551" s="24">
        <v>682</v>
      </c>
      <c r="B1551" s="24" t="s">
        <v>2575</v>
      </c>
    </row>
    <row r="1552" spans="1:2" hidden="1" x14ac:dyDescent="0.2">
      <c r="A1552" s="24">
        <v>686</v>
      </c>
      <c r="B1552" s="24" t="s">
        <v>2576</v>
      </c>
    </row>
    <row r="1553" spans="1:2" hidden="1" x14ac:dyDescent="0.2">
      <c r="A1553" s="24">
        <v>688</v>
      </c>
      <c r="B1553" s="24" t="s">
        <v>2577</v>
      </c>
    </row>
    <row r="1554" spans="1:2" hidden="1" x14ac:dyDescent="0.2">
      <c r="A1554" s="24">
        <v>690</v>
      </c>
      <c r="B1554" s="24" t="s">
        <v>2578</v>
      </c>
    </row>
    <row r="1555" spans="1:2" hidden="1" x14ac:dyDescent="0.2">
      <c r="A1555" s="24">
        <v>694</v>
      </c>
      <c r="B1555" s="24" t="s">
        <v>2579</v>
      </c>
    </row>
    <row r="1556" spans="1:2" hidden="1" x14ac:dyDescent="0.2">
      <c r="A1556" s="24">
        <v>702</v>
      </c>
      <c r="B1556" s="24" t="s">
        <v>2580</v>
      </c>
    </row>
    <row r="1557" spans="1:2" hidden="1" x14ac:dyDescent="0.2">
      <c r="A1557" s="24">
        <v>703</v>
      </c>
      <c r="B1557" s="24" t="s">
        <v>2581</v>
      </c>
    </row>
    <row r="1558" spans="1:2" hidden="1" x14ac:dyDescent="0.2">
      <c r="A1558" s="24">
        <v>704</v>
      </c>
      <c r="B1558" s="24" t="s">
        <v>2582</v>
      </c>
    </row>
    <row r="1559" spans="1:2" hidden="1" x14ac:dyDescent="0.2">
      <c r="A1559" s="24">
        <v>705</v>
      </c>
      <c r="B1559" s="24" t="s">
        <v>2583</v>
      </c>
    </row>
    <row r="1560" spans="1:2" hidden="1" x14ac:dyDescent="0.2">
      <c r="A1560" s="24">
        <v>706</v>
      </c>
      <c r="B1560" s="24" t="s">
        <v>2584</v>
      </c>
    </row>
    <row r="1561" spans="1:2" hidden="1" x14ac:dyDescent="0.2">
      <c r="A1561" s="24">
        <v>710</v>
      </c>
      <c r="B1561" s="24" t="s">
        <v>2585</v>
      </c>
    </row>
    <row r="1562" spans="1:2" hidden="1" x14ac:dyDescent="0.2">
      <c r="A1562" s="24">
        <v>716</v>
      </c>
      <c r="B1562" s="24" t="s">
        <v>2586</v>
      </c>
    </row>
    <row r="1563" spans="1:2" hidden="1" x14ac:dyDescent="0.2">
      <c r="A1563" s="24">
        <v>724</v>
      </c>
      <c r="B1563" s="24" t="s">
        <v>2587</v>
      </c>
    </row>
    <row r="1564" spans="1:2" hidden="1" x14ac:dyDescent="0.2">
      <c r="A1564" s="24">
        <v>728</v>
      </c>
      <c r="B1564" s="24" t="s">
        <v>2588</v>
      </c>
    </row>
    <row r="1565" spans="1:2" hidden="1" x14ac:dyDescent="0.2">
      <c r="A1565" s="24">
        <v>729</v>
      </c>
      <c r="B1565" s="24" t="s">
        <v>2589</v>
      </c>
    </row>
    <row r="1566" spans="1:2" hidden="1" x14ac:dyDescent="0.2">
      <c r="A1566" s="24">
        <v>732</v>
      </c>
      <c r="B1566" s="24" t="s">
        <v>2590</v>
      </c>
    </row>
    <row r="1567" spans="1:2" hidden="1" x14ac:dyDescent="0.2">
      <c r="A1567" s="24">
        <v>740</v>
      </c>
      <c r="B1567" s="24" t="s">
        <v>2591</v>
      </c>
    </row>
    <row r="1568" spans="1:2" hidden="1" x14ac:dyDescent="0.2">
      <c r="A1568" s="24">
        <v>744</v>
      </c>
      <c r="B1568" s="24" t="s">
        <v>2592</v>
      </c>
    </row>
    <row r="1569" spans="1:2" hidden="1" x14ac:dyDescent="0.2">
      <c r="A1569" s="24">
        <v>748</v>
      </c>
      <c r="B1569" s="24" t="s">
        <v>2593</v>
      </c>
    </row>
    <row r="1570" spans="1:2" hidden="1" x14ac:dyDescent="0.2">
      <c r="A1570" s="24">
        <v>752</v>
      </c>
      <c r="B1570" s="24" t="s">
        <v>2594</v>
      </c>
    </row>
    <row r="1571" spans="1:2" hidden="1" x14ac:dyDescent="0.2">
      <c r="A1571" s="24">
        <v>756</v>
      </c>
      <c r="B1571" s="24" t="s">
        <v>2595</v>
      </c>
    </row>
    <row r="1572" spans="1:2" hidden="1" x14ac:dyDescent="0.2">
      <c r="A1572" s="24">
        <v>760</v>
      </c>
      <c r="B1572" s="24" t="s">
        <v>2596</v>
      </c>
    </row>
    <row r="1573" spans="1:2" hidden="1" x14ac:dyDescent="0.2">
      <c r="A1573" s="24">
        <v>762</v>
      </c>
      <c r="B1573" s="24" t="s">
        <v>2597</v>
      </c>
    </row>
    <row r="1574" spans="1:2" hidden="1" x14ac:dyDescent="0.2">
      <c r="A1574" s="24">
        <v>764</v>
      </c>
      <c r="B1574" s="24" t="s">
        <v>2598</v>
      </c>
    </row>
    <row r="1575" spans="1:2" hidden="1" x14ac:dyDescent="0.2">
      <c r="A1575" s="24">
        <v>768</v>
      </c>
      <c r="B1575" s="24" t="s">
        <v>2599</v>
      </c>
    </row>
    <row r="1576" spans="1:2" hidden="1" x14ac:dyDescent="0.2">
      <c r="A1576" s="24">
        <v>772</v>
      </c>
      <c r="B1576" s="24" t="s">
        <v>2600</v>
      </c>
    </row>
    <row r="1577" spans="1:2" hidden="1" x14ac:dyDescent="0.2">
      <c r="A1577" s="24">
        <v>776</v>
      </c>
      <c r="B1577" s="24" t="s">
        <v>2601</v>
      </c>
    </row>
    <row r="1578" spans="1:2" hidden="1" x14ac:dyDescent="0.2">
      <c r="A1578" s="24">
        <v>780</v>
      </c>
      <c r="B1578" s="24" t="s">
        <v>2602</v>
      </c>
    </row>
    <row r="1579" spans="1:2" hidden="1" x14ac:dyDescent="0.2">
      <c r="A1579" s="24">
        <v>784</v>
      </c>
      <c r="B1579" s="24" t="s">
        <v>2603</v>
      </c>
    </row>
    <row r="1580" spans="1:2" hidden="1" x14ac:dyDescent="0.2">
      <c r="A1580" s="24">
        <v>788</v>
      </c>
      <c r="B1580" s="24" t="s">
        <v>2604</v>
      </c>
    </row>
    <row r="1581" spans="1:2" hidden="1" x14ac:dyDescent="0.2">
      <c r="A1581" s="24">
        <v>792</v>
      </c>
      <c r="B1581" s="24" t="s">
        <v>2605</v>
      </c>
    </row>
    <row r="1582" spans="1:2" hidden="1" x14ac:dyDescent="0.2">
      <c r="A1582" s="24">
        <v>795</v>
      </c>
      <c r="B1582" s="24" t="s">
        <v>2606</v>
      </c>
    </row>
    <row r="1583" spans="1:2" hidden="1" x14ac:dyDescent="0.2">
      <c r="A1583" s="24">
        <v>796</v>
      </c>
      <c r="B1583" s="24" t="s">
        <v>851</v>
      </c>
    </row>
    <row r="1584" spans="1:2" hidden="1" x14ac:dyDescent="0.2">
      <c r="A1584" s="24">
        <v>798</v>
      </c>
      <c r="B1584" s="24" t="s">
        <v>852</v>
      </c>
    </row>
    <row r="1585" spans="1:2" hidden="1" x14ac:dyDescent="0.2">
      <c r="A1585" s="24">
        <v>800</v>
      </c>
      <c r="B1585" s="24" t="s">
        <v>853</v>
      </c>
    </row>
    <row r="1586" spans="1:2" hidden="1" x14ac:dyDescent="0.2">
      <c r="A1586" s="24">
        <v>804</v>
      </c>
      <c r="B1586" s="24" t="s">
        <v>854</v>
      </c>
    </row>
    <row r="1587" spans="1:2" hidden="1" x14ac:dyDescent="0.2">
      <c r="A1587" s="24">
        <v>807</v>
      </c>
      <c r="B1587" s="24" t="s">
        <v>855</v>
      </c>
    </row>
    <row r="1588" spans="1:2" hidden="1" x14ac:dyDescent="0.2">
      <c r="A1588" s="24">
        <v>818</v>
      </c>
      <c r="B1588" s="24" t="s">
        <v>856</v>
      </c>
    </row>
    <row r="1589" spans="1:2" hidden="1" x14ac:dyDescent="0.2">
      <c r="A1589" s="24">
        <v>826</v>
      </c>
      <c r="B1589" s="24" t="s">
        <v>857</v>
      </c>
    </row>
    <row r="1590" spans="1:2" hidden="1" x14ac:dyDescent="0.2">
      <c r="A1590" s="24">
        <v>831</v>
      </c>
      <c r="B1590" s="24" t="s">
        <v>858</v>
      </c>
    </row>
    <row r="1591" spans="1:2" hidden="1" x14ac:dyDescent="0.2">
      <c r="A1591" s="24">
        <v>832</v>
      </c>
      <c r="B1591" s="24" t="s">
        <v>859</v>
      </c>
    </row>
    <row r="1592" spans="1:2" hidden="1" x14ac:dyDescent="0.2">
      <c r="A1592" s="24">
        <v>833</v>
      </c>
      <c r="B1592" s="24" t="s">
        <v>860</v>
      </c>
    </row>
    <row r="1593" spans="1:2" hidden="1" x14ac:dyDescent="0.2">
      <c r="A1593" s="24">
        <v>834</v>
      </c>
      <c r="B1593" s="24" t="s">
        <v>861</v>
      </c>
    </row>
    <row r="1594" spans="1:2" hidden="1" x14ac:dyDescent="0.2">
      <c r="A1594" s="24">
        <v>840</v>
      </c>
      <c r="B1594" s="24" t="s">
        <v>862</v>
      </c>
    </row>
    <row r="1595" spans="1:2" hidden="1" x14ac:dyDescent="0.2">
      <c r="A1595" s="24">
        <v>850</v>
      </c>
      <c r="B1595" s="24" t="s">
        <v>863</v>
      </c>
    </row>
    <row r="1596" spans="1:2" hidden="1" x14ac:dyDescent="0.2">
      <c r="A1596" s="24">
        <v>854</v>
      </c>
      <c r="B1596" s="24" t="s">
        <v>864</v>
      </c>
    </row>
    <row r="1597" spans="1:2" hidden="1" x14ac:dyDescent="0.2">
      <c r="A1597" s="24">
        <v>858</v>
      </c>
      <c r="B1597" s="24" t="s">
        <v>865</v>
      </c>
    </row>
    <row r="1598" spans="1:2" hidden="1" x14ac:dyDescent="0.2">
      <c r="A1598" s="24">
        <v>860</v>
      </c>
      <c r="B1598" s="24" t="s">
        <v>866</v>
      </c>
    </row>
    <row r="1599" spans="1:2" hidden="1" x14ac:dyDescent="0.2">
      <c r="A1599" s="24">
        <v>862</v>
      </c>
      <c r="B1599" s="24" t="s">
        <v>867</v>
      </c>
    </row>
    <row r="1600" spans="1:2" hidden="1" x14ac:dyDescent="0.2">
      <c r="A1600" s="24">
        <v>876</v>
      </c>
      <c r="B1600" s="24" t="s">
        <v>868</v>
      </c>
    </row>
    <row r="1601" spans="1:2" hidden="1" x14ac:dyDescent="0.2">
      <c r="A1601" s="24">
        <v>882</v>
      </c>
      <c r="B1601" s="24" t="s">
        <v>869</v>
      </c>
    </row>
    <row r="1602" spans="1:2" hidden="1" x14ac:dyDescent="0.2">
      <c r="A1602" s="24">
        <v>887</v>
      </c>
      <c r="B1602" s="24" t="s">
        <v>870</v>
      </c>
    </row>
    <row r="1603" spans="1:2" hidden="1" x14ac:dyDescent="0.2">
      <c r="A1603" s="24">
        <v>894</v>
      </c>
      <c r="B1603" s="24" t="s">
        <v>871</v>
      </c>
    </row>
  </sheetData>
  <sheetProtection password="C79A" sheet="1" objects="1" scenarios="1"/>
  <mergeCells count="101">
    <mergeCell ref="G56:H56"/>
    <mergeCell ref="A37:B37"/>
    <mergeCell ref="C35:I35"/>
    <mergeCell ref="A39:B39"/>
    <mergeCell ref="H39:I39"/>
    <mergeCell ref="A52:B52"/>
    <mergeCell ref="A54:B54"/>
    <mergeCell ref="A55:B57"/>
    <mergeCell ref="L21:N21"/>
    <mergeCell ref="A11:N11"/>
    <mergeCell ref="F14:H14"/>
    <mergeCell ref="A17:B17"/>
    <mergeCell ref="A14:C14"/>
    <mergeCell ref="J21:K21"/>
    <mergeCell ref="D19:H20"/>
    <mergeCell ref="D17:N18"/>
    <mergeCell ref="I19:M19"/>
    <mergeCell ref="A75:E75"/>
    <mergeCell ref="K10:N10"/>
    <mergeCell ref="A10:B10"/>
    <mergeCell ref="H12:J12"/>
    <mergeCell ref="A15:C15"/>
    <mergeCell ref="J14:N14"/>
    <mergeCell ref="F12:G12"/>
    <mergeCell ref="E21:H21"/>
    <mergeCell ref="M46:N46"/>
    <mergeCell ref="F28:I28"/>
    <mergeCell ref="F4:G4"/>
    <mergeCell ref="A2:N2"/>
    <mergeCell ref="A7:B7"/>
    <mergeCell ref="A4:B4"/>
    <mergeCell ref="H4:N4"/>
    <mergeCell ref="D7:N7"/>
    <mergeCell ref="A3:N3"/>
    <mergeCell ref="C4:D4"/>
    <mergeCell ref="J76:N76"/>
    <mergeCell ref="A68:B68"/>
    <mergeCell ref="A70:B70"/>
    <mergeCell ref="C70:E70"/>
    <mergeCell ref="A72:B72"/>
    <mergeCell ref="C73:H73"/>
    <mergeCell ref="A76:E76"/>
    <mergeCell ref="J68:N69"/>
    <mergeCell ref="C72:H72"/>
    <mergeCell ref="C71:H71"/>
    <mergeCell ref="A33:B33"/>
    <mergeCell ref="D31:E31"/>
    <mergeCell ref="F31:L31"/>
    <mergeCell ref="C33:L33"/>
    <mergeCell ref="K39:N39"/>
    <mergeCell ref="C37:I37"/>
    <mergeCell ref="D58:E58"/>
    <mergeCell ref="J62:N62"/>
    <mergeCell ref="J35:K35"/>
    <mergeCell ref="J28:N28"/>
    <mergeCell ref="L35:N35"/>
    <mergeCell ref="D42:N42"/>
    <mergeCell ref="D39:G39"/>
    <mergeCell ref="I50:K50"/>
    <mergeCell ref="G58:H58"/>
    <mergeCell ref="D56:E56"/>
    <mergeCell ref="J54:N54"/>
    <mergeCell ref="J56:N56"/>
    <mergeCell ref="J64:N64"/>
    <mergeCell ref="J66:N67"/>
    <mergeCell ref="J60:N60"/>
    <mergeCell ref="C69:H69"/>
    <mergeCell ref="C67:H67"/>
    <mergeCell ref="D60:E60"/>
    <mergeCell ref="G60:H60"/>
    <mergeCell ref="C68:G68"/>
    <mergeCell ref="A62:C62"/>
    <mergeCell ref="B66:G66"/>
    <mergeCell ref="A60:B60"/>
    <mergeCell ref="C64:F64"/>
    <mergeCell ref="D23:N24"/>
    <mergeCell ref="C29:L29"/>
    <mergeCell ref="M27:N27"/>
    <mergeCell ref="J27:L27"/>
    <mergeCell ref="F27:G27"/>
    <mergeCell ref="H27:I27"/>
    <mergeCell ref="C27:E27"/>
    <mergeCell ref="A19:B19"/>
    <mergeCell ref="A44:B44"/>
    <mergeCell ref="A21:B21"/>
    <mergeCell ref="A29:B29"/>
    <mergeCell ref="A31:B31"/>
    <mergeCell ref="A42:B42"/>
    <mergeCell ref="A23:B24"/>
    <mergeCell ref="A27:B27"/>
    <mergeCell ref="A35:B35"/>
    <mergeCell ref="A58:B59"/>
    <mergeCell ref="D50:H50"/>
    <mergeCell ref="A50:B50"/>
    <mergeCell ref="D44:N44"/>
    <mergeCell ref="J46:L47"/>
    <mergeCell ref="D46:I46"/>
    <mergeCell ref="J58:N58"/>
    <mergeCell ref="D52:H52"/>
    <mergeCell ref="A46:B47"/>
    <mergeCell ref="J52:N52"/>
  </mergeCells>
  <phoneticPr fontId="3" type="noConversion"/>
  <conditionalFormatting sqref="I52 I54 I56 I58 I60 I62 I64 I66 H47:H49 H45 H40:H41 I68">
    <cfRule type="cellIs" dxfId="32" priority="1" stopIfTrue="1" operator="equal">
      <formula>"DA"</formula>
    </cfRule>
  </conditionalFormatting>
  <conditionalFormatting sqref="F4:G4">
    <cfRule type="cellIs" dxfId="31" priority="2" stopIfTrue="1" operator="lessThan">
      <formula>$C$4</formula>
    </cfRule>
  </conditionalFormatting>
  <conditionalFormatting sqref="D44:N44">
    <cfRule type="cellIs" dxfId="30" priority="5" stopIfTrue="1" operator="equal">
      <formula>"Upisana je nepostojeća ili neprepoznatljiva šifra statusa autonomnosti"</formula>
    </cfRule>
  </conditionalFormatting>
  <conditionalFormatting sqref="N25 D17:N18 D26:N26">
    <cfRule type="cellIs" dxfId="29" priority="6" stopIfTrue="1" operator="equal">
      <formula>"Upisana je nepostojeća ili neprepoznatljiva vrsta izvještaja"</formula>
    </cfRule>
  </conditionalFormatting>
  <conditionalFormatting sqref="C20 D19 I20">
    <cfRule type="cellIs" dxfId="28" priority="7" stopIfTrue="1" operator="equal">
      <formula>"Nepostojeća ili neprepoznatljiva svrha predaje"</formula>
    </cfRule>
  </conditionalFormatting>
  <conditionalFormatting sqref="D42:N42">
    <cfRule type="cellIs" dxfId="27" priority="8" stopIfTrue="1" operator="equal">
      <formula>"Šifra NKD-a ne postoji"</formula>
    </cfRule>
  </conditionalFormatting>
  <conditionalFormatting sqref="E51:G51 D50:D51">
    <cfRule type="cellIs" dxfId="26" priority="9" stopIfTrue="1" operator="equal">
      <formula>"Nepostojeća oznaka veličine"</formula>
    </cfRule>
  </conditionalFormatting>
  <conditionalFormatting sqref="D52:H52">
    <cfRule type="cellIs" dxfId="25" priority="10" stopIfTrue="1" operator="equal">
      <formula>"Nepostojeća oznaka vlasništva"</formula>
    </cfRule>
  </conditionalFormatting>
  <conditionalFormatting sqref="D7:N7">
    <cfRule type="cellIs" dxfId="24" priority="11" stopIfTrue="1" operator="equal">
      <formula>"Upisana je nepostojeća ili neprepoznatljiva vrsta poslovnog subjekta"</formula>
    </cfRule>
  </conditionalFormatting>
  <conditionalFormatting sqref="D39:G39">
    <cfRule type="cellIs" dxfId="23" priority="12" stopIfTrue="1" operator="equal">
      <formula>"Šifra grada/općine ne postoji"</formula>
    </cfRule>
  </conditionalFormatting>
  <conditionalFormatting sqref="A3:N3">
    <cfRule type="cellIs" dxfId="22" priority="23" stopIfTrue="1" operator="equal">
      <formula>"Sve kontrole su zadovoljene, obrazac je ispravan"</formula>
    </cfRule>
  </conditionalFormatting>
  <dataValidations count="30">
    <dataValidation type="textLength" allowBlank="1" showInputMessage="1" showErrorMessage="1" errorTitle="Neispravan matični broj" error="Matični broj unosi se na osam znamenaka s vodećim nulama. Matični broj mora biti brojevna vrijednost." sqref="H27:I27 B64">
      <formula1>8</formula1>
      <formula2>8</formula2>
    </dataValidation>
    <dataValidation type="whole" allowBlank="1" showInputMessage="1" showErrorMessage="1" errorTitle="Broj mjeseci poslovanja" error="Broj mjeseci poslovanja za jedan izvještaj može biti od 0 do 12." sqref="C60">
      <formula1>0</formula1>
      <formula2>12</formula2>
    </dataValidation>
    <dataValidation type="whole" allowBlank="1" showInputMessage="1" showErrorMessage="1" errorTitle="Nispravan postotak" error="Postotak udjela može biti cijeli broj u rasponu 1 do 100" sqref="F54 C54">
      <formula1>0</formula1>
      <formula2>100</formula2>
    </dataValidation>
    <dataValidation type="list" allowBlank="1" showInputMessage="1" showErrorMessage="1" errorTitle="Pogrešan upis" error="Potrebno je odabrati ili upisati velikim slovima DA ili NE." sqref="I56">
      <formula1>"DA,NE"</formula1>
    </dataValidation>
    <dataValidation type="list" allowBlank="1" showInputMessage="1" showErrorMessage="1" sqref="I60 I58">
      <formula1>"DA,NE"</formula1>
    </dataValidation>
    <dataValidation type="list" allowBlank="1" showInputMessage="1" showErrorMessage="1" sqref="C52">
      <formula1>$A$80:$A$87</formula1>
    </dataValidation>
    <dataValidation type="list" allowBlank="1" showInputMessage="1" showErrorMessage="1" errorTitle="Pogrešna oznaka veličine" error="Oznaka veličine poduzetnika mora biti upisana (od 1 do 4)" sqref="C50">
      <formula1>$A$124:$A$127</formula1>
    </dataValidation>
    <dataValidation type="list" allowBlank="1" showInputMessage="1" showErrorMessage="1" errorTitle="Pogrešna svrha predaje" error="Svrha predaje je obavezan podatak i može biti samo 1, 2 ili 3" sqref="C19">
      <formula1>$A$118:$A$120</formula1>
    </dataValidation>
    <dataValidation type="list" allowBlank="1" showInputMessage="1" showErrorMessage="1" sqref="C46">
      <formula1>$A$1355:$A$1603</formula1>
    </dataValidation>
    <dataValidation type="whole" allowBlank="1" showInputMessage="1" showErrorMessage="1" errorTitle="Neispravan poštanski broj" error="Poštanski broj unosi se kao brojevna vrijednost u granicama primjenjivim u Hrvatskoj (10000 do 54000)" sqref="C31">
      <formula1>10000</formula1>
      <formula2>54000</formula2>
    </dataValidation>
    <dataValidation type="list" allowBlank="1" showInputMessage="1" showErrorMessage="1" errorTitle="Pogrešna šifra grada/općine" error="Šifra grada/općine mora biti upisana i mora biti postojeća šifra" sqref="C39">
      <formula1>$A$177:$A$732</formula1>
    </dataValidation>
    <dataValidation type="textLength" allowBlank="1" showInputMessage="1" showErrorMessage="1" errorTitle="Neispravan MBS" error="MBS se unosi na devet znamenaka s vodećim nulama. Matični broj mora biti brojevna vrijednost." sqref="M27:N27">
      <formula1>9</formula1>
      <formula2>9</formula2>
    </dataValidation>
    <dataValidation type="date" operator="greaterThanOrEqual" allowBlank="1" showInputMessage="1" showErrorMessage="1" errorTitle="Pogrešan datum" error="Ova verzija obrasca je u upotrebi od 2021. godine i datum mora biti u 2021. ili kasnije. Kod upisa datuma, dan i mjesec, te mjesec i godina odvajaju se točkom, ali se točka ne stavlja iza godine." sqref="F4:G4">
      <formula1>44197</formula1>
    </dataValidation>
    <dataValidation type="date" operator="greaterThanOrEqual" allowBlank="1" showInputMessage="1" showErrorMessage="1" errorTitle="Pogrešan datum" error="Datum mora biti upisan kao datumska vrijednost nakon 01.01.2000. godine. Kod upisa datuma, dan i mjesec, te mjesec i godina odvajaju se točkom, ali se točka ne stavlja iza godine." sqref="C4:D4">
      <formula1>36526</formula1>
    </dataValidation>
    <dataValidation type="list" allowBlank="1" showInputMessage="1" showErrorMessage="1" sqref="F12:G12">
      <formula1>$Q$1:$Q$2</formula1>
    </dataValidation>
    <dataValidation type="list" allowBlank="1" showInputMessage="1" showErrorMessage="1" errorTitle="Pogrešna vrsta izvještaja" error="Vrsta izvještaja mora biti jedna od postojećih šifri, mora biti upisana" sqref="C17">
      <formula1>$A$142:$A$149</formula1>
    </dataValidation>
    <dataValidation type="list" allowBlank="1" showInputMessage="1" showErrorMessage="1" errorTitle="Neispravna šifra autonomnosti" error="Potrebno je upisati postojeću šifru autonomnosti - polje ne smije ostati prazno" sqref="C44">
      <formula1>$A$131:$A$138</formula1>
    </dataValidation>
    <dataValidation type="list" allowBlank="1" showInputMessage="1" showErrorMessage="1" sqref="C7">
      <formula1>$A$91:$A$107</formula1>
    </dataValidation>
    <dataValidation type="list" allowBlank="1" showInputMessage="1" showErrorMessage="1" errorTitle="Pogrešna šifra grada/općine" error="Šifra grada/općine mora biti upisana i mora biti postojeća šifra" sqref="C42">
      <formula1>$A$736:$A$1351</formula1>
    </dataValidation>
    <dataValidation type="list" allowBlank="1" showInputMessage="1" showErrorMessage="1" sqref="N19">
      <formula1>"HSFI,MSFI"</formula1>
    </dataValidation>
    <dataValidation type="list" showInputMessage="1" showErrorMessage="1" sqref="C21 I21">
      <formula1>"DA,NE"</formula1>
    </dataValidation>
    <dataValidation type="list" allowBlank="1" showInputMessage="1" showErrorMessage="1" errorTitle="Pogrešna oznaka veličine" error="Oznaka veličine poduzetnika mora biti upisana (od 1 do 4)" sqref="C23">
      <formula1>$A$111:$A$114</formula1>
    </dataValidation>
    <dataValidation type="list" showInputMessage="1" showErrorMessage="1" errorTitle="Pogrešan upis" error="Moguće je samo upisati DA ili NE. Samo poduzetnici koji kroz cijelu poslovnu godinu nisu imali ni prihoda ni rashoda upisuju NE." sqref="N6">
      <formula1>"DA,NE"</formula1>
    </dataValidation>
    <dataValidation type="textLength" allowBlank="1" showInputMessage="1" showErrorMessage="1" errorTitle="Neispravan broj telefona" error="Unesite samo jedan broj telefona, (od 10 do 14 znakova) uključujući pozivni broj bez prefixa +385 ili slično. _x000a_Primjer: 012/345-678" promptTitle="Broj telefona:" prompt="Broj telefona unesite u formatu: 01/2345-678 s obavezno uključenim pozivnim brojem (županije)." sqref="L35:N35">
      <formula1>9</formula1>
      <formula2>14</formula2>
    </dataValidation>
    <dataValidation type="list" allowBlank="1" showInputMessage="1" showErrorMessage="1" errorTitle="Pogrešan upis" error="Dopuštena je samo oznaka DA ili NE velikim slovima." sqref="I68 I64 I62 I66">
      <formula1>"DA,NE"</formula1>
    </dataValidation>
    <dataValidation type="list" allowBlank="1" showDropDown="1" showInputMessage="1" showErrorMessage="1" sqref="I54 I52">
      <formula1>"DA,NE"</formula1>
    </dataValidation>
    <dataValidation type="whole" allowBlank="1" showInputMessage="1" showErrorMessage="1" errorTitle="Broj mjeseci poslovanja" error="Broj mjeseci poslovanja za jedan izvještaj može biti od 0 do 12. Iznimno poslovni subjekti u likvidaciji mogu imati kod javne objave do 132 mjeseca (11 godina)." sqref="F60">
      <formula1>0</formula1>
      <formula2>132</formula2>
    </dataValidation>
    <dataValidation type="textLength" allowBlank="1" showInputMessage="1" showErrorMessage="1" errorTitle="Neispravan OIB revizora" error="Osobni identifikacijski broj unosi se na 11 znamenaka. Ispravite unos." sqref="L21:N21">
      <formula1>11</formula1>
      <formula2>11</formula2>
    </dataValidation>
    <dataValidation type="textLength" operator="equal" allowBlank="1" showInputMessage="1" showErrorMessage="1" errorTitle="Nedopušten unos" error="OIB mora sadržavati 11 znamenaka. Nije dopušten unos vrijednosti neke druge duljine." sqref="C27:E27">
      <formula1>11</formula1>
    </dataValidation>
    <dataValidation allowBlank="1" showErrorMessage="1" sqref="C56"/>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verticalCentered="1"/>
  <pageMargins left="0.39370078740157483" right="0.39370078740157483" top="0.59055118110236227" bottom="0.59055118110236227" header="0.39370078740157483" footer="0.39370078740157483"/>
  <pageSetup paperSize="9" scale="88"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R136"/>
  <sheetViews>
    <sheetView showGridLines="0" showRowColHeaders="0" workbookViewId="0">
      <pane ySplit="1" topLeftCell="A119" activePane="bottomLeft" state="frozen"/>
      <selection pane="bottomLeft" activeCell="E1" sqref="E1"/>
    </sheetView>
  </sheetViews>
  <sheetFormatPr defaultColWidth="0" defaultRowHeight="12" zeroHeight="1" x14ac:dyDescent="0.2"/>
  <cols>
    <col min="1" max="6" width="9.140625" style="1" customWidth="1"/>
    <col min="7" max="8" width="5.7109375" style="2" customWidth="1"/>
    <col min="9" max="10" width="14.7109375" style="2" customWidth="1"/>
    <col min="11" max="11" width="0.85546875" style="2" customWidth="1"/>
    <col min="12" max="12" width="8.7109375" style="2" hidden="1" customWidth="1"/>
    <col min="13" max="14" width="9.5703125" style="2" hidden="1" customWidth="1"/>
    <col min="15" max="16384" width="9.28515625" style="2" hidden="1"/>
  </cols>
  <sheetData>
    <row r="1" spans="1:18" ht="24.95" customHeight="1" thickBot="1" x14ac:dyDescent="0.25">
      <c r="A1" s="139" t="s">
        <v>57</v>
      </c>
      <c r="B1" s="63" t="s">
        <v>56</v>
      </c>
      <c r="C1" s="63" t="s">
        <v>59</v>
      </c>
      <c r="D1" s="63" t="s">
        <v>2328</v>
      </c>
      <c r="E1" s="63" t="s">
        <v>794</v>
      </c>
      <c r="F1" s="63" t="s">
        <v>2824</v>
      </c>
      <c r="G1" s="63" t="s">
        <v>2748</v>
      </c>
      <c r="H1" s="63" t="s">
        <v>2749</v>
      </c>
      <c r="I1" s="63" t="s">
        <v>795</v>
      </c>
      <c r="J1" s="64" t="s">
        <v>58</v>
      </c>
      <c r="Q1" s="70">
        <f>MAX(Q2:Q3)</f>
        <v>1</v>
      </c>
      <c r="R1" s="69" t="s">
        <v>792</v>
      </c>
    </row>
    <row r="2" spans="1:18" ht="20.100000000000001" customHeight="1" x14ac:dyDescent="0.2">
      <c r="A2" s="391" t="s">
        <v>319</v>
      </c>
      <c r="B2" s="392"/>
      <c r="C2" s="392"/>
      <c r="D2" s="392"/>
      <c r="E2" s="392"/>
      <c r="F2" s="392"/>
      <c r="G2" s="392"/>
      <c r="H2" s="392"/>
      <c r="I2" s="393"/>
      <c r="J2" s="389" t="s">
        <v>1208</v>
      </c>
      <c r="Q2" s="70">
        <f>IF(OR(MIN(I9:I135)&lt;0,MAX(I9:I135)&gt;0),1,0)</f>
        <v>1</v>
      </c>
      <c r="R2" s="69" t="s">
        <v>1204</v>
      </c>
    </row>
    <row r="3" spans="1:18" ht="20.100000000000001" customHeight="1" thickBot="1" x14ac:dyDescent="0.25">
      <c r="A3" s="394" t="str">
        <f xml:space="preserve"> "stanje na dan " &amp; IF(RefStr!F4&lt;&gt;"", TEXT(RefStr!F4, "DD.MM.YYYY."),"__.__.____.")</f>
        <v>stanje na dan 31.12.2021.</v>
      </c>
      <c r="B3" s="395"/>
      <c r="C3" s="395"/>
      <c r="D3" s="395"/>
      <c r="E3" s="395"/>
      <c r="F3" s="395"/>
      <c r="G3" s="395"/>
      <c r="H3" s="395"/>
      <c r="I3" s="396"/>
      <c r="J3" s="390"/>
      <c r="Q3" s="70">
        <f>IF(OR(MIN(J9:J135)&lt;0,MAX(J9:J135)&gt;0),1,0)</f>
        <v>1</v>
      </c>
      <c r="R3" s="69" t="s">
        <v>1205</v>
      </c>
    </row>
    <row r="4" spans="1:18" ht="5.0999999999999996" customHeight="1" x14ac:dyDescent="0.2">
      <c r="A4" s="236"/>
      <c r="B4" s="72"/>
      <c r="C4" s="72"/>
      <c r="D4" s="72"/>
      <c r="E4" s="72"/>
      <c r="F4" s="72"/>
      <c r="G4" s="72"/>
      <c r="H4" s="72"/>
      <c r="I4" s="72"/>
      <c r="J4" s="71"/>
    </row>
    <row r="5" spans="1:18" ht="15" customHeight="1" x14ac:dyDescent="0.2">
      <c r="A5" s="397" t="str">
        <f>"Obveznik: "&amp;IF(RefStr!C27&lt;&gt;"",RefStr!C27,"________") &amp; "; " &amp; IF(RefStr!C29&lt;&gt;"",RefStr!C29,"________________________________________________________"&amp;"; "&amp;IF(RefStr!F31&lt;&gt;"",RefStr!F31,"_______________"))</f>
        <v>Obveznik: 50327992893; POSLOVNI SUSTAVI d.o.o. RIJEKA</v>
      </c>
      <c r="B5" s="398"/>
      <c r="C5" s="398"/>
      <c r="D5" s="398"/>
      <c r="E5" s="398"/>
      <c r="F5" s="398"/>
      <c r="G5" s="398"/>
      <c r="H5" s="398"/>
      <c r="I5" s="398"/>
      <c r="J5" s="399"/>
      <c r="Q5" s="2">
        <f>IF(I98&lt;&gt;0,1,0)</f>
        <v>0</v>
      </c>
      <c r="R5" s="69" t="s">
        <v>1206</v>
      </c>
    </row>
    <row r="6" spans="1:18" ht="24.75" customHeight="1" thickBot="1" x14ac:dyDescent="0.25">
      <c r="A6" s="400" t="s">
        <v>955</v>
      </c>
      <c r="B6" s="401"/>
      <c r="C6" s="401"/>
      <c r="D6" s="401"/>
      <c r="E6" s="401"/>
      <c r="F6" s="401"/>
      <c r="G6" s="98" t="s">
        <v>633</v>
      </c>
      <c r="H6" s="98" t="s">
        <v>2275</v>
      </c>
      <c r="I6" s="98" t="s">
        <v>407</v>
      </c>
      <c r="J6" s="99" t="s">
        <v>408</v>
      </c>
      <c r="Q6" s="2">
        <f>IF(J98&lt;&gt;0,1,0)</f>
        <v>0</v>
      </c>
      <c r="R6" s="69" t="s">
        <v>1207</v>
      </c>
    </row>
    <row r="7" spans="1:18" ht="14.1" customHeight="1" x14ac:dyDescent="0.2">
      <c r="A7" s="402">
        <v>1</v>
      </c>
      <c r="B7" s="403"/>
      <c r="C7" s="403"/>
      <c r="D7" s="403"/>
      <c r="E7" s="403"/>
      <c r="F7" s="403"/>
      <c r="G7" s="101">
        <v>2</v>
      </c>
      <c r="H7" s="101">
        <v>3</v>
      </c>
      <c r="I7" s="100">
        <v>4</v>
      </c>
      <c r="J7" s="102">
        <v>5</v>
      </c>
    </row>
    <row r="8" spans="1:18" ht="14.1" customHeight="1" x14ac:dyDescent="0.2">
      <c r="A8" s="404" t="s">
        <v>957</v>
      </c>
      <c r="B8" s="405"/>
      <c r="C8" s="405"/>
      <c r="D8" s="405"/>
      <c r="E8" s="405"/>
      <c r="F8" s="405"/>
      <c r="G8" s="405"/>
      <c r="H8" s="405"/>
      <c r="I8" s="405"/>
      <c r="J8" s="405"/>
    </row>
    <row r="9" spans="1:18" ht="14.1" customHeight="1" x14ac:dyDescent="0.2">
      <c r="A9" s="387" t="s">
        <v>958</v>
      </c>
      <c r="B9" s="387"/>
      <c r="C9" s="387"/>
      <c r="D9" s="387"/>
      <c r="E9" s="387"/>
      <c r="F9" s="387"/>
      <c r="G9" s="15">
        <v>1</v>
      </c>
      <c r="H9" s="16"/>
      <c r="I9" s="67"/>
      <c r="J9" s="67"/>
      <c r="O9" s="70"/>
    </row>
    <row r="10" spans="1:18" ht="14.1" customHeight="1" x14ac:dyDescent="0.2">
      <c r="A10" s="387" t="s">
        <v>903</v>
      </c>
      <c r="B10" s="387"/>
      <c r="C10" s="387"/>
      <c r="D10" s="387"/>
      <c r="E10" s="387"/>
      <c r="F10" s="387"/>
      <c r="G10" s="15">
        <v>2</v>
      </c>
      <c r="H10" s="16"/>
      <c r="I10" s="66">
        <f>I11+I18+I28+I39+I44</f>
        <v>678242</v>
      </c>
      <c r="J10" s="66">
        <f>J11+J18+J28+J39+J44</f>
        <v>754417</v>
      </c>
    </row>
    <row r="11" spans="1:18" ht="14.1" customHeight="1" x14ac:dyDescent="0.2">
      <c r="A11" s="386" t="s">
        <v>904</v>
      </c>
      <c r="B11" s="386"/>
      <c r="C11" s="386"/>
      <c r="D11" s="386"/>
      <c r="E11" s="386"/>
      <c r="F11" s="386"/>
      <c r="G11" s="15">
        <v>3</v>
      </c>
      <c r="H11" s="16"/>
      <c r="I11" s="66">
        <f>SUM(I12:I17)</f>
        <v>339333</v>
      </c>
      <c r="J11" s="66">
        <f>SUM(J12:J17)</f>
        <v>310090</v>
      </c>
    </row>
    <row r="12" spans="1:18" ht="14.1" customHeight="1" x14ac:dyDescent="0.2">
      <c r="A12" s="385" t="s">
        <v>1887</v>
      </c>
      <c r="B12" s="385"/>
      <c r="C12" s="385"/>
      <c r="D12" s="385"/>
      <c r="E12" s="385"/>
      <c r="F12" s="385"/>
      <c r="G12" s="15">
        <v>4</v>
      </c>
      <c r="H12" s="16"/>
      <c r="I12" s="67"/>
      <c r="J12" s="67"/>
    </row>
    <row r="13" spans="1:18" ht="24.95" customHeight="1" x14ac:dyDescent="0.2">
      <c r="A13" s="385" t="s">
        <v>880</v>
      </c>
      <c r="B13" s="385"/>
      <c r="C13" s="385"/>
      <c r="D13" s="385"/>
      <c r="E13" s="385"/>
      <c r="F13" s="385"/>
      <c r="G13" s="15">
        <v>5</v>
      </c>
      <c r="H13" s="16"/>
      <c r="I13" s="67">
        <v>158117</v>
      </c>
      <c r="J13" s="67">
        <v>128874</v>
      </c>
    </row>
    <row r="14" spans="1:18" ht="14.1" customHeight="1" x14ac:dyDescent="0.2">
      <c r="A14" s="385" t="s">
        <v>1888</v>
      </c>
      <c r="B14" s="385"/>
      <c r="C14" s="385"/>
      <c r="D14" s="385"/>
      <c r="E14" s="385"/>
      <c r="F14" s="385"/>
      <c r="G14" s="15">
        <v>6</v>
      </c>
      <c r="H14" s="16"/>
      <c r="I14" s="67"/>
      <c r="J14" s="67"/>
    </row>
    <row r="15" spans="1:18" ht="14.1" customHeight="1" x14ac:dyDescent="0.2">
      <c r="A15" s="385" t="s">
        <v>1889</v>
      </c>
      <c r="B15" s="385"/>
      <c r="C15" s="385"/>
      <c r="D15" s="385"/>
      <c r="E15" s="385"/>
      <c r="F15" s="385"/>
      <c r="G15" s="15">
        <v>7</v>
      </c>
      <c r="H15" s="16"/>
      <c r="I15" s="67"/>
      <c r="J15" s="67"/>
    </row>
    <row r="16" spans="1:18" ht="14.1" customHeight="1" x14ac:dyDescent="0.2">
      <c r="A16" s="385" t="s">
        <v>1890</v>
      </c>
      <c r="B16" s="385"/>
      <c r="C16" s="385"/>
      <c r="D16" s="385"/>
      <c r="E16" s="385"/>
      <c r="F16" s="385"/>
      <c r="G16" s="15">
        <v>8</v>
      </c>
      <c r="H16" s="16"/>
      <c r="I16" s="67">
        <v>181216</v>
      </c>
      <c r="J16" s="67">
        <v>181216</v>
      </c>
    </row>
    <row r="17" spans="1:10" ht="14.1" customHeight="1" x14ac:dyDescent="0.2">
      <c r="A17" s="385" t="s">
        <v>1891</v>
      </c>
      <c r="B17" s="385"/>
      <c r="C17" s="385"/>
      <c r="D17" s="385"/>
      <c r="E17" s="385"/>
      <c r="F17" s="385"/>
      <c r="G17" s="15">
        <v>9</v>
      </c>
      <c r="H17" s="16"/>
      <c r="I17" s="67"/>
      <c r="J17" s="67"/>
    </row>
    <row r="18" spans="1:10" ht="14.1" customHeight="1" x14ac:dyDescent="0.2">
      <c r="A18" s="386" t="s">
        <v>965</v>
      </c>
      <c r="B18" s="386"/>
      <c r="C18" s="386"/>
      <c r="D18" s="386"/>
      <c r="E18" s="386"/>
      <c r="F18" s="386"/>
      <c r="G18" s="15">
        <v>10</v>
      </c>
      <c r="H18" s="16"/>
      <c r="I18" s="66">
        <f>SUM(I19:I27)</f>
        <v>255403</v>
      </c>
      <c r="J18" s="66">
        <f>SUM(J19:J27)</f>
        <v>367727</v>
      </c>
    </row>
    <row r="19" spans="1:10" ht="14.1" customHeight="1" x14ac:dyDescent="0.2">
      <c r="A19" s="385" t="s">
        <v>733</v>
      </c>
      <c r="B19" s="385"/>
      <c r="C19" s="385"/>
      <c r="D19" s="385"/>
      <c r="E19" s="385"/>
      <c r="F19" s="385"/>
      <c r="G19" s="15">
        <v>11</v>
      </c>
      <c r="H19" s="16"/>
      <c r="I19" s="67"/>
      <c r="J19" s="67"/>
    </row>
    <row r="20" spans="1:10" ht="14.1" customHeight="1" x14ac:dyDescent="0.2">
      <c r="A20" s="385" t="s">
        <v>796</v>
      </c>
      <c r="B20" s="385"/>
      <c r="C20" s="385"/>
      <c r="D20" s="385"/>
      <c r="E20" s="385"/>
      <c r="F20" s="385"/>
      <c r="G20" s="15">
        <v>12</v>
      </c>
      <c r="H20" s="16"/>
      <c r="I20" s="67"/>
      <c r="J20" s="67"/>
    </row>
    <row r="21" spans="1:10" ht="14.1" customHeight="1" x14ac:dyDescent="0.2">
      <c r="A21" s="385" t="s">
        <v>734</v>
      </c>
      <c r="B21" s="385"/>
      <c r="C21" s="385"/>
      <c r="D21" s="385"/>
      <c r="E21" s="385"/>
      <c r="F21" s="385"/>
      <c r="G21" s="15">
        <v>13</v>
      </c>
      <c r="H21" s="16"/>
      <c r="I21" s="67">
        <v>182636</v>
      </c>
      <c r="J21" s="67">
        <v>346370</v>
      </c>
    </row>
    <row r="22" spans="1:10" ht="14.1" customHeight="1" x14ac:dyDescent="0.2">
      <c r="A22" s="385" t="s">
        <v>405</v>
      </c>
      <c r="B22" s="385"/>
      <c r="C22" s="385"/>
      <c r="D22" s="385"/>
      <c r="E22" s="385"/>
      <c r="F22" s="385"/>
      <c r="G22" s="15">
        <v>14</v>
      </c>
      <c r="H22" s="16"/>
      <c r="I22" s="67">
        <v>72767</v>
      </c>
      <c r="J22" s="67">
        <v>21357</v>
      </c>
    </row>
    <row r="23" spans="1:10" ht="14.1" customHeight="1" x14ac:dyDescent="0.2">
      <c r="A23" s="385" t="s">
        <v>406</v>
      </c>
      <c r="B23" s="385"/>
      <c r="C23" s="385"/>
      <c r="D23" s="385"/>
      <c r="E23" s="385"/>
      <c r="F23" s="385"/>
      <c r="G23" s="15">
        <v>15</v>
      </c>
      <c r="H23" s="16"/>
      <c r="I23" s="67"/>
      <c r="J23" s="67"/>
    </row>
    <row r="24" spans="1:10" ht="14.1" customHeight="1" x14ac:dyDescent="0.2">
      <c r="A24" s="385" t="s">
        <v>2691</v>
      </c>
      <c r="B24" s="385"/>
      <c r="C24" s="385"/>
      <c r="D24" s="385"/>
      <c r="E24" s="385"/>
      <c r="F24" s="385"/>
      <c r="G24" s="15">
        <v>16</v>
      </c>
      <c r="H24" s="16"/>
      <c r="I24" s="67"/>
      <c r="J24" s="67"/>
    </row>
    <row r="25" spans="1:10" ht="14.1" customHeight="1" x14ac:dyDescent="0.2">
      <c r="A25" s="385" t="s">
        <v>2692</v>
      </c>
      <c r="B25" s="385"/>
      <c r="C25" s="385"/>
      <c r="D25" s="385"/>
      <c r="E25" s="385"/>
      <c r="F25" s="385"/>
      <c r="G25" s="15">
        <v>17</v>
      </c>
      <c r="H25" s="16"/>
      <c r="I25" s="67"/>
      <c r="J25" s="67"/>
    </row>
    <row r="26" spans="1:10" ht="14.1" customHeight="1" x14ac:dyDescent="0.2">
      <c r="A26" s="385" t="s">
        <v>2693</v>
      </c>
      <c r="B26" s="385"/>
      <c r="C26" s="385"/>
      <c r="D26" s="385"/>
      <c r="E26" s="385"/>
      <c r="F26" s="385"/>
      <c r="G26" s="15">
        <v>18</v>
      </c>
      <c r="H26" s="16"/>
      <c r="I26" s="67"/>
      <c r="J26" s="67"/>
    </row>
    <row r="27" spans="1:10" ht="14.1" customHeight="1" x14ac:dyDescent="0.2">
      <c r="A27" s="385" t="s">
        <v>2694</v>
      </c>
      <c r="B27" s="385"/>
      <c r="C27" s="385"/>
      <c r="D27" s="385"/>
      <c r="E27" s="385"/>
      <c r="F27" s="385"/>
      <c r="G27" s="15">
        <v>19</v>
      </c>
      <c r="H27" s="16"/>
      <c r="I27" s="67"/>
      <c r="J27" s="67"/>
    </row>
    <row r="28" spans="1:10" ht="14.1" customHeight="1" x14ac:dyDescent="0.2">
      <c r="A28" s="386" t="s">
        <v>1261</v>
      </c>
      <c r="B28" s="386"/>
      <c r="C28" s="386"/>
      <c r="D28" s="386"/>
      <c r="E28" s="386"/>
      <c r="F28" s="386"/>
      <c r="G28" s="15">
        <v>20</v>
      </c>
      <c r="H28" s="16"/>
      <c r="I28" s="66">
        <f>SUM(I29:I38)</f>
        <v>0</v>
      </c>
      <c r="J28" s="66">
        <f>SUM(J29:J38)</f>
        <v>0</v>
      </c>
    </row>
    <row r="29" spans="1:10" ht="14.1" customHeight="1" x14ac:dyDescent="0.2">
      <c r="A29" s="385" t="s">
        <v>705</v>
      </c>
      <c r="B29" s="385"/>
      <c r="C29" s="385"/>
      <c r="D29" s="385"/>
      <c r="E29" s="385"/>
      <c r="F29" s="385"/>
      <c r="G29" s="15">
        <v>21</v>
      </c>
      <c r="H29" s="16"/>
      <c r="I29" s="67"/>
      <c r="J29" s="67"/>
    </row>
    <row r="30" spans="1:10" ht="14.1" customHeight="1" x14ac:dyDescent="0.2">
      <c r="A30" s="385" t="s">
        <v>706</v>
      </c>
      <c r="B30" s="385"/>
      <c r="C30" s="385"/>
      <c r="D30" s="385"/>
      <c r="E30" s="385"/>
      <c r="F30" s="385"/>
      <c r="G30" s="15">
        <v>22</v>
      </c>
      <c r="H30" s="16"/>
      <c r="I30" s="67"/>
      <c r="J30" s="67"/>
    </row>
    <row r="31" spans="1:10" ht="14.1" customHeight="1" x14ac:dyDescent="0.2">
      <c r="A31" s="385" t="s">
        <v>707</v>
      </c>
      <c r="B31" s="385"/>
      <c r="C31" s="385"/>
      <c r="D31" s="385"/>
      <c r="E31" s="385"/>
      <c r="F31" s="385"/>
      <c r="G31" s="15">
        <v>23</v>
      </c>
      <c r="H31" s="16"/>
      <c r="I31" s="67"/>
      <c r="J31" s="67"/>
    </row>
    <row r="32" spans="1:10" ht="24.95" customHeight="1" x14ac:dyDescent="0.2">
      <c r="A32" s="385" t="s">
        <v>881</v>
      </c>
      <c r="B32" s="385"/>
      <c r="C32" s="385"/>
      <c r="D32" s="385"/>
      <c r="E32" s="385"/>
      <c r="F32" s="385"/>
      <c r="G32" s="15">
        <v>24</v>
      </c>
      <c r="H32" s="16"/>
      <c r="I32" s="67"/>
      <c r="J32" s="67"/>
    </row>
    <row r="33" spans="1:10" ht="24.95" customHeight="1" x14ac:dyDescent="0.2">
      <c r="A33" s="385" t="s">
        <v>882</v>
      </c>
      <c r="B33" s="385"/>
      <c r="C33" s="385"/>
      <c r="D33" s="385"/>
      <c r="E33" s="385"/>
      <c r="F33" s="385"/>
      <c r="G33" s="15">
        <v>25</v>
      </c>
      <c r="H33" s="16"/>
      <c r="I33" s="67"/>
      <c r="J33" s="67"/>
    </row>
    <row r="34" spans="1:10" ht="24.95" customHeight="1" x14ac:dyDescent="0.2">
      <c r="A34" s="385" t="s">
        <v>1996</v>
      </c>
      <c r="B34" s="385"/>
      <c r="C34" s="385"/>
      <c r="D34" s="385"/>
      <c r="E34" s="385"/>
      <c r="F34" s="385"/>
      <c r="G34" s="15">
        <v>26</v>
      </c>
      <c r="H34" s="16"/>
      <c r="I34" s="67"/>
      <c r="J34" s="67"/>
    </row>
    <row r="35" spans="1:10" ht="14.1" customHeight="1" x14ac:dyDescent="0.2">
      <c r="A35" s="385" t="s">
        <v>708</v>
      </c>
      <c r="B35" s="385"/>
      <c r="C35" s="385"/>
      <c r="D35" s="385"/>
      <c r="E35" s="385"/>
      <c r="F35" s="385"/>
      <c r="G35" s="15">
        <v>27</v>
      </c>
      <c r="H35" s="16"/>
      <c r="I35" s="67"/>
      <c r="J35" s="67"/>
    </row>
    <row r="36" spans="1:10" ht="14.1" customHeight="1" x14ac:dyDescent="0.2">
      <c r="A36" s="385" t="s">
        <v>709</v>
      </c>
      <c r="B36" s="385"/>
      <c r="C36" s="385"/>
      <c r="D36" s="385"/>
      <c r="E36" s="385"/>
      <c r="F36" s="385"/>
      <c r="G36" s="15">
        <v>28</v>
      </c>
      <c r="H36" s="16"/>
      <c r="I36" s="67"/>
      <c r="J36" s="67"/>
    </row>
    <row r="37" spans="1:10" ht="14.1" customHeight="1" x14ac:dyDescent="0.2">
      <c r="A37" s="385" t="s">
        <v>1952</v>
      </c>
      <c r="B37" s="385"/>
      <c r="C37" s="385"/>
      <c r="D37" s="385"/>
      <c r="E37" s="385"/>
      <c r="F37" s="385"/>
      <c r="G37" s="15">
        <v>29</v>
      </c>
      <c r="H37" s="16"/>
      <c r="I37" s="67"/>
      <c r="J37" s="67"/>
    </row>
    <row r="38" spans="1:10" ht="14.1" customHeight="1" x14ac:dyDescent="0.2">
      <c r="A38" s="385" t="s">
        <v>1953</v>
      </c>
      <c r="B38" s="385"/>
      <c r="C38" s="385"/>
      <c r="D38" s="385"/>
      <c r="E38" s="385"/>
      <c r="F38" s="385"/>
      <c r="G38" s="15">
        <v>30</v>
      </c>
      <c r="H38" s="16"/>
      <c r="I38" s="67"/>
      <c r="J38" s="67"/>
    </row>
    <row r="39" spans="1:10" ht="14.1" customHeight="1" x14ac:dyDescent="0.2">
      <c r="A39" s="386" t="s">
        <v>1262</v>
      </c>
      <c r="B39" s="386"/>
      <c r="C39" s="386"/>
      <c r="D39" s="386"/>
      <c r="E39" s="386"/>
      <c r="F39" s="386"/>
      <c r="G39" s="15">
        <v>31</v>
      </c>
      <c r="H39" s="16"/>
      <c r="I39" s="66">
        <f>SUM(I40:I43)</f>
        <v>0</v>
      </c>
      <c r="J39" s="66">
        <f>SUM(J40:J43)</f>
        <v>0</v>
      </c>
    </row>
    <row r="40" spans="1:10" ht="14.1" customHeight="1" x14ac:dyDescent="0.2">
      <c r="A40" s="385" t="s">
        <v>1954</v>
      </c>
      <c r="B40" s="385"/>
      <c r="C40" s="385"/>
      <c r="D40" s="385"/>
      <c r="E40" s="385"/>
      <c r="F40" s="385"/>
      <c r="G40" s="15">
        <v>32</v>
      </c>
      <c r="H40" s="16"/>
      <c r="I40" s="67"/>
      <c r="J40" s="67"/>
    </row>
    <row r="41" spans="1:10" ht="14.1" customHeight="1" x14ac:dyDescent="0.2">
      <c r="A41" s="385" t="s">
        <v>159</v>
      </c>
      <c r="B41" s="385"/>
      <c r="C41" s="385"/>
      <c r="D41" s="385"/>
      <c r="E41" s="385"/>
      <c r="F41" s="385"/>
      <c r="G41" s="15">
        <v>33</v>
      </c>
      <c r="H41" s="16"/>
      <c r="I41" s="67"/>
      <c r="J41" s="67"/>
    </row>
    <row r="42" spans="1:10" ht="14.1" customHeight="1" x14ac:dyDescent="0.2">
      <c r="A42" s="385" t="s">
        <v>1886</v>
      </c>
      <c r="B42" s="385"/>
      <c r="C42" s="385"/>
      <c r="D42" s="385"/>
      <c r="E42" s="385"/>
      <c r="F42" s="385"/>
      <c r="G42" s="15">
        <v>34</v>
      </c>
      <c r="H42" s="16"/>
      <c r="I42" s="67"/>
      <c r="J42" s="67"/>
    </row>
    <row r="43" spans="1:10" ht="14.1" customHeight="1" x14ac:dyDescent="0.2">
      <c r="A43" s="385" t="s">
        <v>160</v>
      </c>
      <c r="B43" s="385"/>
      <c r="C43" s="385"/>
      <c r="D43" s="385"/>
      <c r="E43" s="385"/>
      <c r="F43" s="385"/>
      <c r="G43" s="15">
        <v>35</v>
      </c>
      <c r="H43" s="16"/>
      <c r="I43" s="67"/>
      <c r="J43" s="67"/>
    </row>
    <row r="44" spans="1:10" ht="14.1" customHeight="1" x14ac:dyDescent="0.2">
      <c r="A44" s="386" t="s">
        <v>1505</v>
      </c>
      <c r="B44" s="386"/>
      <c r="C44" s="386"/>
      <c r="D44" s="386"/>
      <c r="E44" s="386"/>
      <c r="F44" s="386"/>
      <c r="G44" s="15">
        <v>36</v>
      </c>
      <c r="H44" s="16"/>
      <c r="I44" s="67">
        <v>83506</v>
      </c>
      <c r="J44" s="67">
        <v>76600</v>
      </c>
    </row>
    <row r="45" spans="1:10" ht="14.1" customHeight="1" x14ac:dyDescent="0.2">
      <c r="A45" s="387" t="s">
        <v>1263</v>
      </c>
      <c r="B45" s="387"/>
      <c r="C45" s="387"/>
      <c r="D45" s="387"/>
      <c r="E45" s="387"/>
      <c r="F45" s="387"/>
      <c r="G45" s="15">
        <v>37</v>
      </c>
      <c r="H45" s="16"/>
      <c r="I45" s="66">
        <f>I46+I54+I61+I71</f>
        <v>5814854</v>
      </c>
      <c r="J45" s="66">
        <f>J46+J54+J61+J71</f>
        <v>6143511</v>
      </c>
    </row>
    <row r="46" spans="1:10" ht="14.1" customHeight="1" x14ac:dyDescent="0.2">
      <c r="A46" s="386" t="s">
        <v>1264</v>
      </c>
      <c r="B46" s="386"/>
      <c r="C46" s="386"/>
      <c r="D46" s="386"/>
      <c r="E46" s="386"/>
      <c r="F46" s="386"/>
      <c r="G46" s="15">
        <v>38</v>
      </c>
      <c r="H46" s="16"/>
      <c r="I46" s="66">
        <f>SUM(I47:I53)</f>
        <v>0</v>
      </c>
      <c r="J46" s="66">
        <f>SUM(J47:J53)</f>
        <v>0</v>
      </c>
    </row>
    <row r="47" spans="1:10" ht="14.1" customHeight="1" x14ac:dyDescent="0.2">
      <c r="A47" s="385" t="s">
        <v>1892</v>
      </c>
      <c r="B47" s="385"/>
      <c r="C47" s="385"/>
      <c r="D47" s="385"/>
      <c r="E47" s="385"/>
      <c r="F47" s="385"/>
      <c r="G47" s="15">
        <v>39</v>
      </c>
      <c r="H47" s="16"/>
      <c r="I47" s="67"/>
      <c r="J47" s="67"/>
    </row>
    <row r="48" spans="1:10" ht="14.1" customHeight="1" x14ac:dyDescent="0.2">
      <c r="A48" s="385" t="s">
        <v>1893</v>
      </c>
      <c r="B48" s="385"/>
      <c r="C48" s="385"/>
      <c r="D48" s="385"/>
      <c r="E48" s="385"/>
      <c r="F48" s="385"/>
      <c r="G48" s="15">
        <v>40</v>
      </c>
      <c r="H48" s="16"/>
      <c r="I48" s="67"/>
      <c r="J48" s="67"/>
    </row>
    <row r="49" spans="1:10" ht="14.1" customHeight="1" x14ac:dyDescent="0.2">
      <c r="A49" s="385" t="s">
        <v>1894</v>
      </c>
      <c r="B49" s="385"/>
      <c r="C49" s="385"/>
      <c r="D49" s="385"/>
      <c r="E49" s="385"/>
      <c r="F49" s="385"/>
      <c r="G49" s="15">
        <v>41</v>
      </c>
      <c r="H49" s="16"/>
      <c r="I49" s="67"/>
      <c r="J49" s="67"/>
    </row>
    <row r="50" spans="1:10" ht="14.1" customHeight="1" x14ac:dyDescent="0.2">
      <c r="A50" s="385" t="s">
        <v>1895</v>
      </c>
      <c r="B50" s="385"/>
      <c r="C50" s="385"/>
      <c r="D50" s="385"/>
      <c r="E50" s="385"/>
      <c r="F50" s="385"/>
      <c r="G50" s="15">
        <v>42</v>
      </c>
      <c r="H50" s="16"/>
      <c r="I50" s="67"/>
      <c r="J50" s="67"/>
    </row>
    <row r="51" spans="1:10" ht="14.1" customHeight="1" x14ac:dyDescent="0.2">
      <c r="A51" s="385" t="s">
        <v>1896</v>
      </c>
      <c r="B51" s="385"/>
      <c r="C51" s="385"/>
      <c r="D51" s="385"/>
      <c r="E51" s="385"/>
      <c r="F51" s="385"/>
      <c r="G51" s="15">
        <v>43</v>
      </c>
      <c r="H51" s="16"/>
      <c r="I51" s="67"/>
      <c r="J51" s="67"/>
    </row>
    <row r="52" spans="1:10" ht="14.1" customHeight="1" x14ac:dyDescent="0.2">
      <c r="A52" s="385" t="s">
        <v>1897</v>
      </c>
      <c r="B52" s="385"/>
      <c r="C52" s="385"/>
      <c r="D52" s="385"/>
      <c r="E52" s="385"/>
      <c r="F52" s="385"/>
      <c r="G52" s="15">
        <v>44</v>
      </c>
      <c r="H52" s="16"/>
      <c r="I52" s="67"/>
      <c r="J52" s="67"/>
    </row>
    <row r="53" spans="1:10" ht="14.1" customHeight="1" x14ac:dyDescent="0.2">
      <c r="A53" s="385" t="s">
        <v>2006</v>
      </c>
      <c r="B53" s="385"/>
      <c r="C53" s="385"/>
      <c r="D53" s="385"/>
      <c r="E53" s="385"/>
      <c r="F53" s="385"/>
      <c r="G53" s="15">
        <v>45</v>
      </c>
      <c r="H53" s="16"/>
      <c r="I53" s="67"/>
      <c r="J53" s="67"/>
    </row>
    <row r="54" spans="1:10" ht="14.1" customHeight="1" x14ac:dyDescent="0.2">
      <c r="A54" s="386" t="s">
        <v>1265</v>
      </c>
      <c r="B54" s="386"/>
      <c r="C54" s="386"/>
      <c r="D54" s="386"/>
      <c r="E54" s="386"/>
      <c r="F54" s="386"/>
      <c r="G54" s="15">
        <v>46</v>
      </c>
      <c r="H54" s="16"/>
      <c r="I54" s="66">
        <f>SUM(I55:I60)</f>
        <v>2750846</v>
      </c>
      <c r="J54" s="66">
        <f>SUM(J55:J60)</f>
        <v>2759101</v>
      </c>
    </row>
    <row r="55" spans="1:10" ht="14.1" customHeight="1" x14ac:dyDescent="0.2">
      <c r="A55" s="385" t="s">
        <v>2007</v>
      </c>
      <c r="B55" s="385"/>
      <c r="C55" s="385"/>
      <c r="D55" s="385"/>
      <c r="E55" s="385"/>
      <c r="F55" s="385"/>
      <c r="G55" s="15">
        <v>47</v>
      </c>
      <c r="H55" s="16"/>
      <c r="I55" s="67"/>
      <c r="J55" s="67"/>
    </row>
    <row r="56" spans="1:10" ht="14.1" customHeight="1" x14ac:dyDescent="0.2">
      <c r="A56" s="385" t="s">
        <v>2008</v>
      </c>
      <c r="B56" s="385"/>
      <c r="C56" s="385"/>
      <c r="D56" s="385"/>
      <c r="E56" s="385"/>
      <c r="F56" s="385"/>
      <c r="G56" s="15">
        <v>48</v>
      </c>
      <c r="H56" s="16"/>
      <c r="I56" s="67"/>
      <c r="J56" s="67"/>
    </row>
    <row r="57" spans="1:10" ht="14.1" customHeight="1" x14ac:dyDescent="0.2">
      <c r="A57" s="385" t="s">
        <v>1253</v>
      </c>
      <c r="B57" s="385"/>
      <c r="C57" s="385"/>
      <c r="D57" s="385"/>
      <c r="E57" s="385"/>
      <c r="F57" s="385"/>
      <c r="G57" s="15">
        <v>49</v>
      </c>
      <c r="H57" s="16"/>
      <c r="I57" s="67">
        <v>2681608</v>
      </c>
      <c r="J57" s="67">
        <v>2599425</v>
      </c>
    </row>
    <row r="58" spans="1:10" ht="14.1" customHeight="1" x14ac:dyDescent="0.2">
      <c r="A58" s="385" t="s">
        <v>2009</v>
      </c>
      <c r="B58" s="385"/>
      <c r="C58" s="385"/>
      <c r="D58" s="385"/>
      <c r="E58" s="385"/>
      <c r="F58" s="385"/>
      <c r="G58" s="15">
        <v>50</v>
      </c>
      <c r="H58" s="16"/>
      <c r="I58" s="67">
        <v>19063</v>
      </c>
      <c r="J58" s="67">
        <v>9102</v>
      </c>
    </row>
    <row r="59" spans="1:10" ht="14.1" customHeight="1" x14ac:dyDescent="0.2">
      <c r="A59" s="385" t="s">
        <v>2010</v>
      </c>
      <c r="B59" s="385"/>
      <c r="C59" s="385"/>
      <c r="D59" s="385"/>
      <c r="E59" s="385"/>
      <c r="F59" s="385"/>
      <c r="G59" s="15">
        <v>51</v>
      </c>
      <c r="H59" s="16"/>
      <c r="I59" s="67">
        <v>49549</v>
      </c>
      <c r="J59" s="67">
        <v>114815</v>
      </c>
    </row>
    <row r="60" spans="1:10" ht="14.1" customHeight="1" x14ac:dyDescent="0.2">
      <c r="A60" s="385" t="s">
        <v>1255</v>
      </c>
      <c r="B60" s="385"/>
      <c r="C60" s="385"/>
      <c r="D60" s="385"/>
      <c r="E60" s="385"/>
      <c r="F60" s="385"/>
      <c r="G60" s="15">
        <v>52</v>
      </c>
      <c r="H60" s="16"/>
      <c r="I60" s="67">
        <v>626</v>
      </c>
      <c r="J60" s="67">
        <v>35759</v>
      </c>
    </row>
    <row r="61" spans="1:10" ht="14.1" customHeight="1" x14ac:dyDescent="0.2">
      <c r="A61" s="386" t="s">
        <v>1266</v>
      </c>
      <c r="B61" s="386"/>
      <c r="C61" s="386"/>
      <c r="D61" s="386"/>
      <c r="E61" s="386"/>
      <c r="F61" s="386"/>
      <c r="G61" s="15">
        <v>53</v>
      </c>
      <c r="H61" s="16"/>
      <c r="I61" s="66">
        <f>SUM(I62:I70)</f>
        <v>0</v>
      </c>
      <c r="J61" s="66">
        <f>SUM(J62:J70)</f>
        <v>0</v>
      </c>
    </row>
    <row r="62" spans="1:10" ht="14.1" customHeight="1" x14ac:dyDescent="0.2">
      <c r="A62" s="385" t="s">
        <v>705</v>
      </c>
      <c r="B62" s="385"/>
      <c r="C62" s="385"/>
      <c r="D62" s="385"/>
      <c r="E62" s="385"/>
      <c r="F62" s="385"/>
      <c r="G62" s="15">
        <v>54</v>
      </c>
      <c r="H62" s="16"/>
      <c r="I62" s="67"/>
      <c r="J62" s="67"/>
    </row>
    <row r="63" spans="1:10" ht="14.1" customHeight="1" x14ac:dyDescent="0.2">
      <c r="A63" s="385" t="s">
        <v>706</v>
      </c>
      <c r="B63" s="385"/>
      <c r="C63" s="385"/>
      <c r="D63" s="385"/>
      <c r="E63" s="385"/>
      <c r="F63" s="385"/>
      <c r="G63" s="15">
        <v>55</v>
      </c>
      <c r="H63" s="16"/>
      <c r="I63" s="67"/>
      <c r="J63" s="67"/>
    </row>
    <row r="64" spans="1:10" ht="14.1" customHeight="1" x14ac:dyDescent="0.2">
      <c r="A64" s="385" t="s">
        <v>707</v>
      </c>
      <c r="B64" s="385"/>
      <c r="C64" s="385"/>
      <c r="D64" s="385"/>
      <c r="E64" s="385"/>
      <c r="F64" s="385"/>
      <c r="G64" s="15">
        <v>56</v>
      </c>
      <c r="H64" s="16"/>
      <c r="I64" s="67"/>
      <c r="J64" s="67"/>
    </row>
    <row r="65" spans="1:12" ht="24.95" customHeight="1" x14ac:dyDescent="0.2">
      <c r="A65" s="385" t="s">
        <v>1997</v>
      </c>
      <c r="B65" s="385"/>
      <c r="C65" s="385"/>
      <c r="D65" s="385"/>
      <c r="E65" s="385"/>
      <c r="F65" s="385"/>
      <c r="G65" s="15">
        <v>57</v>
      </c>
      <c r="H65" s="16"/>
      <c r="I65" s="67"/>
      <c r="J65" s="67"/>
    </row>
    <row r="66" spans="1:12" ht="24.95" customHeight="1" x14ac:dyDescent="0.2">
      <c r="A66" s="385" t="s">
        <v>882</v>
      </c>
      <c r="B66" s="385"/>
      <c r="C66" s="385"/>
      <c r="D66" s="385"/>
      <c r="E66" s="385"/>
      <c r="F66" s="385"/>
      <c r="G66" s="15">
        <v>58</v>
      </c>
      <c r="H66" s="16"/>
      <c r="I66" s="67"/>
      <c r="J66" s="67"/>
    </row>
    <row r="67" spans="1:12" ht="24.95" customHeight="1" x14ac:dyDescent="0.2">
      <c r="A67" s="385" t="s">
        <v>1996</v>
      </c>
      <c r="B67" s="385"/>
      <c r="C67" s="385"/>
      <c r="D67" s="385"/>
      <c r="E67" s="385"/>
      <c r="F67" s="385"/>
      <c r="G67" s="15">
        <v>59</v>
      </c>
      <c r="H67" s="16"/>
      <c r="I67" s="67"/>
      <c r="J67" s="67"/>
    </row>
    <row r="68" spans="1:12" ht="14.1" customHeight="1" x14ac:dyDescent="0.2">
      <c r="A68" s="385" t="s">
        <v>708</v>
      </c>
      <c r="B68" s="385"/>
      <c r="C68" s="385"/>
      <c r="D68" s="385"/>
      <c r="E68" s="385"/>
      <c r="F68" s="385"/>
      <c r="G68" s="15">
        <v>60</v>
      </c>
      <c r="H68" s="16"/>
      <c r="I68" s="67"/>
      <c r="J68" s="67"/>
    </row>
    <row r="69" spans="1:12" ht="14.1" customHeight="1" x14ac:dyDescent="0.2">
      <c r="A69" s="385" t="s">
        <v>709</v>
      </c>
      <c r="B69" s="385"/>
      <c r="C69" s="385"/>
      <c r="D69" s="385"/>
      <c r="E69" s="385"/>
      <c r="F69" s="385"/>
      <c r="G69" s="15">
        <v>61</v>
      </c>
      <c r="H69" s="16"/>
      <c r="I69" s="67"/>
      <c r="J69" s="67"/>
    </row>
    <row r="70" spans="1:12" ht="14.1" customHeight="1" x14ac:dyDescent="0.2">
      <c r="A70" s="385" t="s">
        <v>161</v>
      </c>
      <c r="B70" s="385"/>
      <c r="C70" s="385"/>
      <c r="D70" s="385"/>
      <c r="E70" s="385"/>
      <c r="F70" s="385"/>
      <c r="G70" s="15">
        <v>62</v>
      </c>
      <c r="H70" s="16"/>
      <c r="I70" s="67"/>
      <c r="J70" s="67"/>
    </row>
    <row r="71" spans="1:12" ht="14.1" customHeight="1" x14ac:dyDescent="0.2">
      <c r="A71" s="386" t="s">
        <v>2776</v>
      </c>
      <c r="B71" s="386"/>
      <c r="C71" s="386"/>
      <c r="D71" s="386"/>
      <c r="E71" s="386"/>
      <c r="F71" s="386"/>
      <c r="G71" s="15">
        <v>63</v>
      </c>
      <c r="H71" s="16"/>
      <c r="I71" s="67">
        <v>3064008</v>
      </c>
      <c r="J71" s="67">
        <v>3384410</v>
      </c>
    </row>
    <row r="72" spans="1:12" ht="24.95" customHeight="1" x14ac:dyDescent="0.2">
      <c r="A72" s="387" t="s">
        <v>591</v>
      </c>
      <c r="B72" s="387"/>
      <c r="C72" s="387"/>
      <c r="D72" s="387"/>
      <c r="E72" s="387"/>
      <c r="F72" s="387"/>
      <c r="G72" s="15">
        <v>64</v>
      </c>
      <c r="H72" s="16"/>
      <c r="I72" s="67">
        <v>103060</v>
      </c>
      <c r="J72" s="67">
        <v>52619</v>
      </c>
    </row>
    <row r="73" spans="1:12" ht="14.1" customHeight="1" x14ac:dyDescent="0.2">
      <c r="A73" s="387" t="s">
        <v>1267</v>
      </c>
      <c r="B73" s="387"/>
      <c r="C73" s="387"/>
      <c r="D73" s="387"/>
      <c r="E73" s="387"/>
      <c r="F73" s="387"/>
      <c r="G73" s="15">
        <v>65</v>
      </c>
      <c r="H73" s="16"/>
      <c r="I73" s="66">
        <f>I9+I10+I45+I72</f>
        <v>6596156</v>
      </c>
      <c r="J73" s="66">
        <f>J9+J10+J45+J72</f>
        <v>6950547</v>
      </c>
    </row>
    <row r="74" spans="1:12" ht="14.1" customHeight="1" x14ac:dyDescent="0.2">
      <c r="A74" s="388" t="s">
        <v>1004</v>
      </c>
      <c r="B74" s="388"/>
      <c r="C74" s="388"/>
      <c r="D74" s="388"/>
      <c r="E74" s="388"/>
      <c r="F74" s="388"/>
      <c r="G74" s="17">
        <v>66</v>
      </c>
      <c r="H74" s="18"/>
      <c r="I74" s="68"/>
      <c r="J74" s="68"/>
    </row>
    <row r="75" spans="1:12" ht="14.1" customHeight="1" x14ac:dyDescent="0.2">
      <c r="A75" s="404" t="s">
        <v>1513</v>
      </c>
      <c r="B75" s="406"/>
      <c r="C75" s="406"/>
      <c r="D75" s="406"/>
      <c r="E75" s="406"/>
      <c r="F75" s="406"/>
      <c r="G75" s="406"/>
      <c r="H75" s="406"/>
      <c r="I75" s="406"/>
      <c r="J75" s="406"/>
    </row>
    <row r="76" spans="1:12" ht="14.1" customHeight="1" x14ac:dyDescent="0.2">
      <c r="A76" s="387" t="s">
        <v>919</v>
      </c>
      <c r="B76" s="387"/>
      <c r="C76" s="387"/>
      <c r="D76" s="387"/>
      <c r="E76" s="387"/>
      <c r="F76" s="387"/>
      <c r="G76" s="15">
        <v>67</v>
      </c>
      <c r="H76" s="16"/>
      <c r="I76" s="66">
        <f>I77+I78+I79+I85+I86+I92+I95+I98</f>
        <v>4067939</v>
      </c>
      <c r="J76" s="66">
        <f>J77+J78+J79+J85+J86+J92+J95+J98</f>
        <v>4526005</v>
      </c>
      <c r="L76" s="2" t="s">
        <v>1209</v>
      </c>
    </row>
    <row r="77" spans="1:12" ht="14.1" customHeight="1" x14ac:dyDescent="0.2">
      <c r="A77" s="386" t="s">
        <v>1857</v>
      </c>
      <c r="B77" s="386"/>
      <c r="C77" s="386"/>
      <c r="D77" s="386"/>
      <c r="E77" s="386"/>
      <c r="F77" s="386"/>
      <c r="G77" s="15">
        <v>68</v>
      </c>
      <c r="H77" s="16"/>
      <c r="I77" s="67">
        <v>30000</v>
      </c>
      <c r="J77" s="67">
        <v>30000</v>
      </c>
    </row>
    <row r="78" spans="1:12" ht="14.1" customHeight="1" x14ac:dyDescent="0.2">
      <c r="A78" s="386" t="s">
        <v>1858</v>
      </c>
      <c r="B78" s="386"/>
      <c r="C78" s="386"/>
      <c r="D78" s="386"/>
      <c r="E78" s="386"/>
      <c r="F78" s="386"/>
      <c r="G78" s="15">
        <v>69</v>
      </c>
      <c r="H78" s="16"/>
      <c r="I78" s="67"/>
      <c r="J78" s="67"/>
      <c r="L78" s="2" t="s">
        <v>1209</v>
      </c>
    </row>
    <row r="79" spans="1:12" ht="14.1" customHeight="1" x14ac:dyDescent="0.2">
      <c r="A79" s="386" t="s">
        <v>673</v>
      </c>
      <c r="B79" s="386"/>
      <c r="C79" s="386"/>
      <c r="D79" s="386"/>
      <c r="E79" s="386"/>
      <c r="F79" s="386"/>
      <c r="G79" s="15">
        <v>70</v>
      </c>
      <c r="H79" s="16"/>
      <c r="I79" s="66">
        <f>I80+I81-I82+I83+I84</f>
        <v>0</v>
      </c>
      <c r="J79" s="66">
        <f>J80+J81-J82+J83+J84</f>
        <v>0</v>
      </c>
      <c r="L79" s="2" t="s">
        <v>1209</v>
      </c>
    </row>
    <row r="80" spans="1:12" ht="14.1" customHeight="1" x14ac:dyDescent="0.2">
      <c r="A80" s="385" t="s">
        <v>1258</v>
      </c>
      <c r="B80" s="385"/>
      <c r="C80" s="385"/>
      <c r="D80" s="385"/>
      <c r="E80" s="385"/>
      <c r="F80" s="385"/>
      <c r="G80" s="15">
        <v>71</v>
      </c>
      <c r="H80" s="16"/>
      <c r="I80" s="67"/>
      <c r="J80" s="67"/>
      <c r="L80" s="2" t="s">
        <v>1209</v>
      </c>
    </row>
    <row r="81" spans="1:12" ht="14.1" customHeight="1" x14ac:dyDescent="0.2">
      <c r="A81" s="385" t="s">
        <v>1259</v>
      </c>
      <c r="B81" s="385"/>
      <c r="C81" s="385"/>
      <c r="D81" s="385"/>
      <c r="E81" s="385"/>
      <c r="F81" s="385"/>
      <c r="G81" s="15">
        <v>72</v>
      </c>
      <c r="H81" s="16"/>
      <c r="I81" s="67"/>
      <c r="J81" s="67"/>
      <c r="L81" s="2" t="s">
        <v>1209</v>
      </c>
    </row>
    <row r="82" spans="1:12" ht="14.1" customHeight="1" x14ac:dyDescent="0.2">
      <c r="A82" s="385" t="s">
        <v>2825</v>
      </c>
      <c r="B82" s="385"/>
      <c r="C82" s="385"/>
      <c r="D82" s="385"/>
      <c r="E82" s="385"/>
      <c r="F82" s="385"/>
      <c r="G82" s="15">
        <v>73</v>
      </c>
      <c r="H82" s="16"/>
      <c r="I82" s="67"/>
      <c r="J82" s="67"/>
      <c r="L82" s="2" t="s">
        <v>1209</v>
      </c>
    </row>
    <row r="83" spans="1:12" ht="14.1" customHeight="1" x14ac:dyDescent="0.2">
      <c r="A83" s="385" t="s">
        <v>2826</v>
      </c>
      <c r="B83" s="385"/>
      <c r="C83" s="385"/>
      <c r="D83" s="385"/>
      <c r="E83" s="385"/>
      <c r="F83" s="385"/>
      <c r="G83" s="15">
        <v>74</v>
      </c>
      <c r="H83" s="16"/>
      <c r="I83" s="67"/>
      <c r="J83" s="67"/>
      <c r="L83" s="2" t="s">
        <v>1209</v>
      </c>
    </row>
    <row r="84" spans="1:12" ht="14.1" customHeight="1" x14ac:dyDescent="0.2">
      <c r="A84" s="385" t="s">
        <v>2827</v>
      </c>
      <c r="B84" s="385"/>
      <c r="C84" s="385"/>
      <c r="D84" s="385"/>
      <c r="E84" s="385"/>
      <c r="F84" s="385"/>
      <c r="G84" s="15">
        <v>75</v>
      </c>
      <c r="H84" s="16"/>
      <c r="I84" s="67"/>
      <c r="J84" s="67"/>
      <c r="L84" s="2" t="s">
        <v>1209</v>
      </c>
    </row>
    <row r="85" spans="1:12" ht="14.1" customHeight="1" x14ac:dyDescent="0.2">
      <c r="A85" s="386" t="s">
        <v>2405</v>
      </c>
      <c r="B85" s="386"/>
      <c r="C85" s="386"/>
      <c r="D85" s="386"/>
      <c r="E85" s="386"/>
      <c r="F85" s="386"/>
      <c r="G85" s="15">
        <v>76</v>
      </c>
      <c r="H85" s="16"/>
      <c r="I85" s="67"/>
      <c r="J85" s="67"/>
      <c r="L85" s="2" t="s">
        <v>1209</v>
      </c>
    </row>
    <row r="86" spans="1:12" ht="14.1" customHeight="1" x14ac:dyDescent="0.2">
      <c r="A86" s="386" t="s">
        <v>2484</v>
      </c>
      <c r="B86" s="386"/>
      <c r="C86" s="386"/>
      <c r="D86" s="386"/>
      <c r="E86" s="386"/>
      <c r="F86" s="386"/>
      <c r="G86" s="15">
        <v>77</v>
      </c>
      <c r="H86" s="16"/>
      <c r="I86" s="66">
        <f>SUM(I87:I91)</f>
        <v>0</v>
      </c>
      <c r="J86" s="66">
        <f>SUM(J87:J91)</f>
        <v>0</v>
      </c>
      <c r="L86" s="2" t="s">
        <v>1209</v>
      </c>
    </row>
    <row r="87" spans="1:12" ht="24.95" customHeight="1" x14ac:dyDescent="0.2">
      <c r="A87" s="385" t="s">
        <v>344</v>
      </c>
      <c r="B87" s="385"/>
      <c r="C87" s="385"/>
      <c r="D87" s="385"/>
      <c r="E87" s="385"/>
      <c r="F87" s="385"/>
      <c r="G87" s="15">
        <v>78</v>
      </c>
      <c r="H87" s="16"/>
      <c r="I87" s="67"/>
      <c r="J87" s="67"/>
      <c r="L87" s="2" t="s">
        <v>1209</v>
      </c>
    </row>
    <row r="88" spans="1:12" ht="14.1" customHeight="1" x14ac:dyDescent="0.2">
      <c r="A88" s="385" t="s">
        <v>2828</v>
      </c>
      <c r="B88" s="385"/>
      <c r="C88" s="385"/>
      <c r="D88" s="385"/>
      <c r="E88" s="385"/>
      <c r="F88" s="385"/>
      <c r="G88" s="15">
        <v>79</v>
      </c>
      <c r="H88" s="16"/>
      <c r="I88" s="67"/>
      <c r="J88" s="67"/>
      <c r="L88" s="2" t="s">
        <v>1209</v>
      </c>
    </row>
    <row r="89" spans="1:12" ht="14.1" customHeight="1" x14ac:dyDescent="0.2">
      <c r="A89" s="385" t="s">
        <v>2829</v>
      </c>
      <c r="B89" s="385"/>
      <c r="C89" s="385"/>
      <c r="D89" s="385"/>
      <c r="E89" s="385"/>
      <c r="F89" s="385"/>
      <c r="G89" s="15">
        <v>80</v>
      </c>
      <c r="H89" s="16"/>
      <c r="I89" s="67"/>
      <c r="J89" s="67"/>
      <c r="L89" s="2" t="s">
        <v>1209</v>
      </c>
    </row>
    <row r="90" spans="1:12" ht="14.1" customHeight="1" x14ac:dyDescent="0.2">
      <c r="A90" s="385" t="s">
        <v>2485</v>
      </c>
      <c r="B90" s="385"/>
      <c r="C90" s="385"/>
      <c r="D90" s="385"/>
      <c r="E90" s="385"/>
      <c r="F90" s="385"/>
      <c r="G90" s="15">
        <v>81</v>
      </c>
      <c r="H90" s="16"/>
      <c r="I90" s="67"/>
      <c r="J90" s="67"/>
      <c r="L90" s="2" t="s">
        <v>1209</v>
      </c>
    </row>
    <row r="91" spans="1:12" ht="25.5" customHeight="1" x14ac:dyDescent="0.2">
      <c r="A91" s="385" t="s">
        <v>343</v>
      </c>
      <c r="B91" s="385"/>
      <c r="C91" s="385"/>
      <c r="D91" s="385"/>
      <c r="E91" s="385"/>
      <c r="F91" s="385"/>
      <c r="G91" s="15">
        <v>82</v>
      </c>
      <c r="H91" s="16"/>
      <c r="I91" s="67"/>
      <c r="J91" s="67"/>
      <c r="L91" s="2" t="s">
        <v>1209</v>
      </c>
    </row>
    <row r="92" spans="1:12" ht="14.1" customHeight="1" x14ac:dyDescent="0.2">
      <c r="A92" s="386" t="s">
        <v>2486</v>
      </c>
      <c r="B92" s="386"/>
      <c r="C92" s="386"/>
      <c r="D92" s="386"/>
      <c r="E92" s="386"/>
      <c r="F92" s="386"/>
      <c r="G92" s="15">
        <v>83</v>
      </c>
      <c r="H92" s="16"/>
      <c r="I92" s="66">
        <f>I93-I94</f>
        <v>2916404</v>
      </c>
      <c r="J92" s="66">
        <f>J93-J94</f>
        <v>4037939</v>
      </c>
      <c r="L92" s="2" t="s">
        <v>1209</v>
      </c>
    </row>
    <row r="93" spans="1:12" ht="14.1" customHeight="1" x14ac:dyDescent="0.2">
      <c r="A93" s="385" t="s">
        <v>2830</v>
      </c>
      <c r="B93" s="385"/>
      <c r="C93" s="385"/>
      <c r="D93" s="385"/>
      <c r="E93" s="385"/>
      <c r="F93" s="385"/>
      <c r="G93" s="15">
        <v>84</v>
      </c>
      <c r="H93" s="16"/>
      <c r="I93" s="67">
        <v>2916404</v>
      </c>
      <c r="J93" s="67">
        <v>4037939</v>
      </c>
    </row>
    <row r="94" spans="1:12" ht="14.1" customHeight="1" x14ac:dyDescent="0.2">
      <c r="A94" s="385" t="s">
        <v>2831</v>
      </c>
      <c r="B94" s="385"/>
      <c r="C94" s="385"/>
      <c r="D94" s="385"/>
      <c r="E94" s="385"/>
      <c r="F94" s="385"/>
      <c r="G94" s="15">
        <v>85</v>
      </c>
      <c r="H94" s="16"/>
      <c r="I94" s="67"/>
      <c r="J94" s="67"/>
    </row>
    <row r="95" spans="1:12" ht="14.1" customHeight="1" x14ac:dyDescent="0.2">
      <c r="A95" s="386" t="s">
        <v>2487</v>
      </c>
      <c r="B95" s="386"/>
      <c r="C95" s="386"/>
      <c r="D95" s="386"/>
      <c r="E95" s="386"/>
      <c r="F95" s="386"/>
      <c r="G95" s="15">
        <v>86</v>
      </c>
      <c r="H95" s="16"/>
      <c r="I95" s="66">
        <f>I96-I97</f>
        <v>1121535</v>
      </c>
      <c r="J95" s="66">
        <f>J96-J97</f>
        <v>458066</v>
      </c>
      <c r="L95" s="2" t="s">
        <v>1209</v>
      </c>
    </row>
    <row r="96" spans="1:12" ht="14.1" customHeight="1" x14ac:dyDescent="0.2">
      <c r="A96" s="385" t="s">
        <v>1257</v>
      </c>
      <c r="B96" s="385"/>
      <c r="C96" s="385"/>
      <c r="D96" s="385"/>
      <c r="E96" s="385"/>
      <c r="F96" s="385"/>
      <c r="G96" s="15">
        <v>87</v>
      </c>
      <c r="H96" s="16"/>
      <c r="I96" s="67">
        <v>1121535</v>
      </c>
      <c r="J96" s="67">
        <v>458066</v>
      </c>
    </row>
    <row r="97" spans="1:12" ht="14.1" customHeight="1" x14ac:dyDescent="0.2">
      <c r="A97" s="385" t="s">
        <v>2832</v>
      </c>
      <c r="B97" s="385"/>
      <c r="C97" s="385"/>
      <c r="D97" s="385"/>
      <c r="E97" s="385"/>
      <c r="F97" s="385"/>
      <c r="G97" s="15">
        <v>88</v>
      </c>
      <c r="H97" s="16"/>
      <c r="I97" s="67"/>
      <c r="J97" s="67"/>
    </row>
    <row r="98" spans="1:12" ht="14.1" customHeight="1" x14ac:dyDescent="0.2">
      <c r="A98" s="386" t="s">
        <v>748</v>
      </c>
      <c r="B98" s="386"/>
      <c r="C98" s="386"/>
      <c r="D98" s="386"/>
      <c r="E98" s="386"/>
      <c r="F98" s="386"/>
      <c r="G98" s="15">
        <v>89</v>
      </c>
      <c r="H98" s="16"/>
      <c r="I98" s="67"/>
      <c r="J98" s="67"/>
      <c r="L98" s="2" t="s">
        <v>1209</v>
      </c>
    </row>
    <row r="99" spans="1:12" ht="14.1" customHeight="1" x14ac:dyDescent="0.2">
      <c r="A99" s="387" t="s">
        <v>2488</v>
      </c>
      <c r="B99" s="387"/>
      <c r="C99" s="387"/>
      <c r="D99" s="387"/>
      <c r="E99" s="387"/>
      <c r="F99" s="387"/>
      <c r="G99" s="15">
        <v>90</v>
      </c>
      <c r="H99" s="16"/>
      <c r="I99" s="66">
        <f>SUM(I100:I105)</f>
        <v>985737</v>
      </c>
      <c r="J99" s="66">
        <f>SUM(J100:J105)</f>
        <v>872907</v>
      </c>
    </row>
    <row r="100" spans="1:12" ht="14.1" customHeight="1" x14ac:dyDescent="0.2">
      <c r="A100" s="385" t="s">
        <v>0</v>
      </c>
      <c r="B100" s="385"/>
      <c r="C100" s="385"/>
      <c r="D100" s="385"/>
      <c r="E100" s="385"/>
      <c r="F100" s="385"/>
      <c r="G100" s="15">
        <v>91</v>
      </c>
      <c r="H100" s="16"/>
      <c r="I100" s="67">
        <v>985737</v>
      </c>
      <c r="J100" s="67">
        <v>872907</v>
      </c>
    </row>
    <row r="101" spans="1:12" ht="14.1" customHeight="1" x14ac:dyDescent="0.2">
      <c r="A101" s="385" t="s">
        <v>1</v>
      </c>
      <c r="B101" s="385"/>
      <c r="C101" s="385"/>
      <c r="D101" s="385"/>
      <c r="E101" s="385"/>
      <c r="F101" s="385"/>
      <c r="G101" s="15">
        <v>92</v>
      </c>
      <c r="H101" s="16"/>
      <c r="I101" s="67"/>
      <c r="J101" s="67"/>
    </row>
    <row r="102" spans="1:12" ht="14.1" customHeight="1" x14ac:dyDescent="0.2">
      <c r="A102" s="385" t="s">
        <v>1256</v>
      </c>
      <c r="B102" s="385"/>
      <c r="C102" s="385"/>
      <c r="D102" s="385"/>
      <c r="E102" s="385"/>
      <c r="F102" s="385"/>
      <c r="G102" s="15">
        <v>93</v>
      </c>
      <c r="H102" s="16"/>
      <c r="I102" s="67"/>
      <c r="J102" s="67"/>
    </row>
    <row r="103" spans="1:12" ht="14.1" customHeight="1" x14ac:dyDescent="0.2">
      <c r="A103" s="385" t="s">
        <v>2833</v>
      </c>
      <c r="B103" s="385"/>
      <c r="C103" s="385"/>
      <c r="D103" s="385"/>
      <c r="E103" s="385"/>
      <c r="F103" s="385"/>
      <c r="G103" s="15">
        <v>94</v>
      </c>
      <c r="H103" s="16"/>
      <c r="I103" s="67"/>
      <c r="J103" s="67"/>
    </row>
    <row r="104" spans="1:12" ht="14.1" customHeight="1" x14ac:dyDescent="0.2">
      <c r="A104" s="385" t="s">
        <v>1270</v>
      </c>
      <c r="B104" s="385"/>
      <c r="C104" s="385"/>
      <c r="D104" s="385"/>
      <c r="E104" s="385"/>
      <c r="F104" s="385"/>
      <c r="G104" s="15">
        <v>95</v>
      </c>
      <c r="H104" s="16"/>
      <c r="I104" s="67"/>
      <c r="J104" s="67"/>
    </row>
    <row r="105" spans="1:12" ht="14.1" customHeight="1" x14ac:dyDescent="0.2">
      <c r="A105" s="385" t="s">
        <v>749</v>
      </c>
      <c r="B105" s="385"/>
      <c r="C105" s="385"/>
      <c r="D105" s="385"/>
      <c r="E105" s="385"/>
      <c r="F105" s="385"/>
      <c r="G105" s="15">
        <v>96</v>
      </c>
      <c r="H105" s="16"/>
      <c r="I105" s="67"/>
      <c r="J105" s="67"/>
    </row>
    <row r="106" spans="1:12" ht="14.1" customHeight="1" x14ac:dyDescent="0.2">
      <c r="A106" s="387" t="s">
        <v>2489</v>
      </c>
      <c r="B106" s="387"/>
      <c r="C106" s="387"/>
      <c r="D106" s="387"/>
      <c r="E106" s="387"/>
      <c r="F106" s="387"/>
      <c r="G106" s="15">
        <v>97</v>
      </c>
      <c r="H106" s="16"/>
      <c r="I106" s="66">
        <f>SUM(I107:I117)</f>
        <v>0</v>
      </c>
      <c r="J106" s="66">
        <f>SUM(J107:J117)</f>
        <v>0</v>
      </c>
    </row>
    <row r="107" spans="1:12" ht="14.1" customHeight="1" x14ac:dyDescent="0.2">
      <c r="A107" s="385" t="s">
        <v>750</v>
      </c>
      <c r="B107" s="385"/>
      <c r="C107" s="385"/>
      <c r="D107" s="385"/>
      <c r="E107" s="385"/>
      <c r="F107" s="385"/>
      <c r="G107" s="15">
        <v>98</v>
      </c>
      <c r="H107" s="16"/>
      <c r="I107" s="67"/>
      <c r="J107" s="67"/>
    </row>
    <row r="108" spans="1:12" ht="14.1" customHeight="1" x14ac:dyDescent="0.2">
      <c r="A108" s="385" t="s">
        <v>2015</v>
      </c>
      <c r="B108" s="385"/>
      <c r="C108" s="385"/>
      <c r="D108" s="385"/>
      <c r="E108" s="385"/>
      <c r="F108" s="385"/>
      <c r="G108" s="15">
        <v>99</v>
      </c>
      <c r="H108" s="16"/>
      <c r="I108" s="67"/>
      <c r="J108" s="67"/>
    </row>
    <row r="109" spans="1:12" ht="14.1" customHeight="1" x14ac:dyDescent="0.2">
      <c r="A109" s="385" t="s">
        <v>2019</v>
      </c>
      <c r="B109" s="385"/>
      <c r="C109" s="385"/>
      <c r="D109" s="385"/>
      <c r="E109" s="385"/>
      <c r="F109" s="385"/>
      <c r="G109" s="15">
        <v>100</v>
      </c>
      <c r="H109" s="16"/>
      <c r="I109" s="67"/>
      <c r="J109" s="67"/>
    </row>
    <row r="110" spans="1:12" ht="24.95" customHeight="1" x14ac:dyDescent="0.2">
      <c r="A110" s="385" t="s">
        <v>592</v>
      </c>
      <c r="B110" s="385"/>
      <c r="C110" s="385"/>
      <c r="D110" s="385"/>
      <c r="E110" s="385"/>
      <c r="F110" s="385"/>
      <c r="G110" s="15">
        <v>101</v>
      </c>
      <c r="H110" s="16"/>
      <c r="I110" s="67"/>
      <c r="J110" s="67"/>
    </row>
    <row r="111" spans="1:12" ht="14.1" customHeight="1" x14ac:dyDescent="0.2">
      <c r="A111" s="385" t="s">
        <v>2020</v>
      </c>
      <c r="B111" s="385"/>
      <c r="C111" s="385"/>
      <c r="D111" s="385"/>
      <c r="E111" s="385"/>
      <c r="F111" s="385"/>
      <c r="G111" s="15">
        <v>102</v>
      </c>
      <c r="H111" s="16"/>
      <c r="I111" s="67"/>
      <c r="J111" s="67"/>
    </row>
    <row r="112" spans="1:12" ht="14.1" customHeight="1" x14ac:dyDescent="0.2">
      <c r="A112" s="385" t="s">
        <v>2021</v>
      </c>
      <c r="B112" s="385"/>
      <c r="C112" s="385"/>
      <c r="D112" s="385"/>
      <c r="E112" s="385"/>
      <c r="F112" s="385"/>
      <c r="G112" s="15">
        <v>103</v>
      </c>
      <c r="H112" s="16"/>
      <c r="I112" s="67"/>
      <c r="J112" s="67"/>
    </row>
    <row r="113" spans="1:10" ht="14.1" customHeight="1" x14ac:dyDescent="0.2">
      <c r="A113" s="385" t="s">
        <v>2016</v>
      </c>
      <c r="B113" s="385"/>
      <c r="C113" s="385"/>
      <c r="D113" s="385"/>
      <c r="E113" s="385"/>
      <c r="F113" s="385"/>
      <c r="G113" s="15">
        <v>104</v>
      </c>
      <c r="H113" s="16"/>
      <c r="I113" s="67"/>
      <c r="J113" s="67"/>
    </row>
    <row r="114" spans="1:10" ht="14.1" customHeight="1" x14ac:dyDescent="0.2">
      <c r="A114" s="385" t="s">
        <v>2017</v>
      </c>
      <c r="B114" s="385"/>
      <c r="C114" s="385"/>
      <c r="D114" s="385"/>
      <c r="E114" s="385"/>
      <c r="F114" s="385"/>
      <c r="G114" s="15">
        <v>105</v>
      </c>
      <c r="H114" s="16"/>
      <c r="I114" s="67"/>
      <c r="J114" s="67"/>
    </row>
    <row r="115" spans="1:10" ht="14.1" customHeight="1" x14ac:dyDescent="0.2">
      <c r="A115" s="385" t="s">
        <v>2018</v>
      </c>
      <c r="B115" s="385"/>
      <c r="C115" s="385"/>
      <c r="D115" s="385"/>
      <c r="E115" s="385"/>
      <c r="F115" s="385"/>
      <c r="G115" s="15">
        <v>106</v>
      </c>
      <c r="H115" s="16"/>
      <c r="I115" s="67"/>
      <c r="J115" s="67"/>
    </row>
    <row r="116" spans="1:10" ht="14.1" customHeight="1" x14ac:dyDescent="0.2">
      <c r="A116" s="385" t="s">
        <v>1271</v>
      </c>
      <c r="B116" s="385"/>
      <c r="C116" s="385"/>
      <c r="D116" s="385"/>
      <c r="E116" s="385"/>
      <c r="F116" s="385"/>
      <c r="G116" s="15">
        <v>107</v>
      </c>
      <c r="H116" s="16"/>
      <c r="I116" s="67"/>
      <c r="J116" s="67"/>
    </row>
    <row r="117" spans="1:10" ht="14.1" customHeight="1" x14ac:dyDescent="0.2">
      <c r="A117" s="385" t="s">
        <v>1272</v>
      </c>
      <c r="B117" s="385"/>
      <c r="C117" s="385"/>
      <c r="D117" s="385"/>
      <c r="E117" s="385"/>
      <c r="F117" s="385"/>
      <c r="G117" s="15">
        <v>108</v>
      </c>
      <c r="H117" s="16"/>
      <c r="I117" s="67"/>
      <c r="J117" s="67"/>
    </row>
    <row r="118" spans="1:10" ht="14.1" customHeight="1" x14ac:dyDescent="0.2">
      <c r="A118" s="387" t="s">
        <v>2490</v>
      </c>
      <c r="B118" s="387"/>
      <c r="C118" s="387"/>
      <c r="D118" s="387"/>
      <c r="E118" s="387"/>
      <c r="F118" s="387"/>
      <c r="G118" s="15">
        <v>109</v>
      </c>
      <c r="H118" s="16"/>
      <c r="I118" s="66">
        <f>SUM(I119:I132)</f>
        <v>1531663</v>
      </c>
      <c r="J118" s="66">
        <f>SUM(J119:J132)</f>
        <v>1492925</v>
      </c>
    </row>
    <row r="119" spans="1:10" ht="14.1" customHeight="1" x14ac:dyDescent="0.2">
      <c r="A119" s="385" t="s">
        <v>750</v>
      </c>
      <c r="B119" s="385"/>
      <c r="C119" s="385"/>
      <c r="D119" s="385"/>
      <c r="E119" s="385"/>
      <c r="F119" s="385"/>
      <c r="G119" s="15">
        <v>110</v>
      </c>
      <c r="H119" s="16"/>
      <c r="I119" s="67"/>
      <c r="J119" s="67"/>
    </row>
    <row r="120" spans="1:10" ht="14.1" customHeight="1" x14ac:dyDescent="0.2">
      <c r="A120" s="385" t="s">
        <v>2015</v>
      </c>
      <c r="B120" s="385"/>
      <c r="C120" s="385"/>
      <c r="D120" s="385"/>
      <c r="E120" s="385"/>
      <c r="F120" s="385"/>
      <c r="G120" s="15">
        <v>111</v>
      </c>
      <c r="H120" s="16"/>
      <c r="I120" s="67"/>
      <c r="J120" s="67"/>
    </row>
    <row r="121" spans="1:10" ht="14.1" customHeight="1" x14ac:dyDescent="0.2">
      <c r="A121" s="385" t="s">
        <v>2019</v>
      </c>
      <c r="B121" s="385"/>
      <c r="C121" s="385"/>
      <c r="D121" s="385"/>
      <c r="E121" s="385"/>
      <c r="F121" s="385"/>
      <c r="G121" s="15">
        <v>112</v>
      </c>
      <c r="H121" s="16"/>
      <c r="I121" s="67"/>
      <c r="J121" s="67"/>
    </row>
    <row r="122" spans="1:10" ht="24.95" customHeight="1" x14ac:dyDescent="0.2">
      <c r="A122" s="385" t="s">
        <v>592</v>
      </c>
      <c r="B122" s="385"/>
      <c r="C122" s="385"/>
      <c r="D122" s="385"/>
      <c r="E122" s="385"/>
      <c r="F122" s="385"/>
      <c r="G122" s="15">
        <v>113</v>
      </c>
      <c r="H122" s="16"/>
      <c r="I122" s="67"/>
      <c r="J122" s="67"/>
    </row>
    <row r="123" spans="1:10" ht="14.1" customHeight="1" x14ac:dyDescent="0.2">
      <c r="A123" s="385" t="s">
        <v>2020</v>
      </c>
      <c r="B123" s="385"/>
      <c r="C123" s="385"/>
      <c r="D123" s="385"/>
      <c r="E123" s="385"/>
      <c r="F123" s="385"/>
      <c r="G123" s="15">
        <v>114</v>
      </c>
      <c r="H123" s="16"/>
      <c r="I123" s="67"/>
      <c r="J123" s="67"/>
    </row>
    <row r="124" spans="1:10" ht="14.1" customHeight="1" x14ac:dyDescent="0.2">
      <c r="A124" s="385" t="s">
        <v>2021</v>
      </c>
      <c r="B124" s="385"/>
      <c r="C124" s="385"/>
      <c r="D124" s="385"/>
      <c r="E124" s="385"/>
      <c r="F124" s="385"/>
      <c r="G124" s="15">
        <v>115</v>
      </c>
      <c r="H124" s="16"/>
      <c r="I124" s="67"/>
      <c r="J124" s="67"/>
    </row>
    <row r="125" spans="1:10" ht="14.1" customHeight="1" x14ac:dyDescent="0.2">
      <c r="A125" s="385" t="s">
        <v>2016</v>
      </c>
      <c r="B125" s="385"/>
      <c r="C125" s="385"/>
      <c r="D125" s="385"/>
      <c r="E125" s="385"/>
      <c r="F125" s="385"/>
      <c r="G125" s="15">
        <v>116</v>
      </c>
      <c r="H125" s="16"/>
      <c r="I125" s="67"/>
      <c r="J125" s="67"/>
    </row>
    <row r="126" spans="1:10" ht="14.1" customHeight="1" x14ac:dyDescent="0.2">
      <c r="A126" s="385" t="s">
        <v>2017</v>
      </c>
      <c r="B126" s="385"/>
      <c r="C126" s="385"/>
      <c r="D126" s="385"/>
      <c r="E126" s="385"/>
      <c r="F126" s="385"/>
      <c r="G126" s="15">
        <v>117</v>
      </c>
      <c r="H126" s="16"/>
      <c r="I126" s="67">
        <v>271429</v>
      </c>
      <c r="J126" s="67">
        <v>326402</v>
      </c>
    </row>
    <row r="127" spans="1:10" ht="14.1" customHeight="1" x14ac:dyDescent="0.2">
      <c r="A127" s="385" t="s">
        <v>2018</v>
      </c>
      <c r="B127" s="385"/>
      <c r="C127" s="385"/>
      <c r="D127" s="385"/>
      <c r="E127" s="385"/>
      <c r="F127" s="385"/>
      <c r="G127" s="15">
        <v>118</v>
      </c>
      <c r="H127" s="16"/>
      <c r="I127" s="67"/>
      <c r="J127" s="67"/>
    </row>
    <row r="128" spans="1:10" ht="14.1" customHeight="1" x14ac:dyDescent="0.2">
      <c r="A128" s="385" t="s">
        <v>2022</v>
      </c>
      <c r="B128" s="385"/>
      <c r="C128" s="385"/>
      <c r="D128" s="385"/>
      <c r="E128" s="385"/>
      <c r="F128" s="385"/>
      <c r="G128" s="15">
        <v>119</v>
      </c>
      <c r="H128" s="16"/>
      <c r="I128" s="67">
        <v>593074</v>
      </c>
      <c r="J128" s="67">
        <v>601581</v>
      </c>
    </row>
    <row r="129" spans="1:10" ht="14.1" customHeight="1" x14ac:dyDescent="0.2">
      <c r="A129" s="385" t="s">
        <v>2023</v>
      </c>
      <c r="B129" s="385"/>
      <c r="C129" s="385"/>
      <c r="D129" s="385"/>
      <c r="E129" s="385"/>
      <c r="F129" s="385"/>
      <c r="G129" s="15">
        <v>120</v>
      </c>
      <c r="H129" s="16"/>
      <c r="I129" s="67">
        <v>636065</v>
      </c>
      <c r="J129" s="67">
        <v>555044</v>
      </c>
    </row>
    <row r="130" spans="1:10" ht="14.1" customHeight="1" x14ac:dyDescent="0.2">
      <c r="A130" s="385" t="s">
        <v>2024</v>
      </c>
      <c r="B130" s="385"/>
      <c r="C130" s="385"/>
      <c r="D130" s="385"/>
      <c r="E130" s="385"/>
      <c r="F130" s="385"/>
      <c r="G130" s="15">
        <v>121</v>
      </c>
      <c r="H130" s="16"/>
      <c r="I130" s="67"/>
      <c r="J130" s="67"/>
    </row>
    <row r="131" spans="1:10" ht="14.1" customHeight="1" x14ac:dyDescent="0.2">
      <c r="A131" s="385" t="s">
        <v>704</v>
      </c>
      <c r="B131" s="385"/>
      <c r="C131" s="385"/>
      <c r="D131" s="385"/>
      <c r="E131" s="385"/>
      <c r="F131" s="385"/>
      <c r="G131" s="15">
        <v>122</v>
      </c>
      <c r="H131" s="16"/>
      <c r="I131" s="67"/>
      <c r="J131" s="67"/>
    </row>
    <row r="132" spans="1:10" ht="14.1" customHeight="1" x14ac:dyDescent="0.2">
      <c r="A132" s="385" t="s">
        <v>162</v>
      </c>
      <c r="B132" s="385"/>
      <c r="C132" s="385"/>
      <c r="D132" s="385"/>
      <c r="E132" s="385"/>
      <c r="F132" s="385"/>
      <c r="G132" s="15">
        <v>123</v>
      </c>
      <c r="H132" s="16"/>
      <c r="I132" s="67">
        <v>31095</v>
      </c>
      <c r="J132" s="67">
        <v>9898</v>
      </c>
    </row>
    <row r="133" spans="1:10" ht="24.95" customHeight="1" x14ac:dyDescent="0.2">
      <c r="A133" s="387" t="s">
        <v>593</v>
      </c>
      <c r="B133" s="387"/>
      <c r="C133" s="387"/>
      <c r="D133" s="387"/>
      <c r="E133" s="387"/>
      <c r="F133" s="387"/>
      <c r="G133" s="15">
        <v>124</v>
      </c>
      <c r="H133" s="16"/>
      <c r="I133" s="67">
        <v>10817</v>
      </c>
      <c r="J133" s="67">
        <v>58710</v>
      </c>
    </row>
    <row r="134" spans="1:10" ht="14.1" customHeight="1" x14ac:dyDescent="0.2">
      <c r="A134" s="387" t="s">
        <v>360</v>
      </c>
      <c r="B134" s="387"/>
      <c r="C134" s="387"/>
      <c r="D134" s="387"/>
      <c r="E134" s="387"/>
      <c r="F134" s="387"/>
      <c r="G134" s="15">
        <v>125</v>
      </c>
      <c r="H134" s="16"/>
      <c r="I134" s="66">
        <f>I76+I99+I106+I118+I133</f>
        <v>6596156</v>
      </c>
      <c r="J134" s="66">
        <f>J76+J99+J106+J118+J133</f>
        <v>6950547</v>
      </c>
    </row>
    <row r="135" spans="1:10" ht="14.1" customHeight="1" x14ac:dyDescent="0.2">
      <c r="A135" s="388" t="s">
        <v>1512</v>
      </c>
      <c r="B135" s="388"/>
      <c r="C135" s="388"/>
      <c r="D135" s="388"/>
      <c r="E135" s="388"/>
      <c r="F135" s="388"/>
      <c r="G135" s="17">
        <v>126</v>
      </c>
      <c r="H135" s="18"/>
      <c r="I135" s="68"/>
      <c r="J135" s="68"/>
    </row>
    <row r="136" spans="1:10" ht="5.0999999999999996" customHeight="1" x14ac:dyDescent="0.2"/>
  </sheetData>
  <sheetProtection password="C79A" sheet="1" objects="1" scenarios="1"/>
  <mergeCells count="134">
    <mergeCell ref="A134:F134"/>
    <mergeCell ref="A135:F135"/>
    <mergeCell ref="A128:F128"/>
    <mergeCell ref="A129:F129"/>
    <mergeCell ref="A130:F130"/>
    <mergeCell ref="A131:F131"/>
    <mergeCell ref="A132:F132"/>
    <mergeCell ref="A133:F133"/>
    <mergeCell ref="A124:F124"/>
    <mergeCell ref="A125:F125"/>
    <mergeCell ref="A126:F126"/>
    <mergeCell ref="A113:F113"/>
    <mergeCell ref="A120:F120"/>
    <mergeCell ref="A121:F121"/>
    <mergeCell ref="A122:F122"/>
    <mergeCell ref="A114:F114"/>
    <mergeCell ref="A115:F115"/>
    <mergeCell ref="A116:F116"/>
    <mergeCell ref="A119:F119"/>
    <mergeCell ref="A75:J75"/>
    <mergeCell ref="A101:F101"/>
    <mergeCell ref="A123:F123"/>
    <mergeCell ref="A110:F110"/>
    <mergeCell ref="A112:F112"/>
    <mergeCell ref="A111:F111"/>
    <mergeCell ref="A102:F102"/>
    <mergeCell ref="A103:F103"/>
    <mergeCell ref="A98:F98"/>
    <mergeCell ref="A8:J8"/>
    <mergeCell ref="A14:F14"/>
    <mergeCell ref="A15:F15"/>
    <mergeCell ref="A127:F127"/>
    <mergeCell ref="A70:F70"/>
    <mergeCell ref="A71:F71"/>
    <mergeCell ref="A82:F82"/>
    <mergeCell ref="A85:F85"/>
    <mergeCell ref="A117:F117"/>
    <mergeCell ref="A118:F118"/>
    <mergeCell ref="J2:J3"/>
    <mergeCell ref="A2:I2"/>
    <mergeCell ref="A3:I3"/>
    <mergeCell ref="A69:F69"/>
    <mergeCell ref="A5:J5"/>
    <mergeCell ref="A6:F6"/>
    <mergeCell ref="A7:F7"/>
    <mergeCell ref="A16:F16"/>
    <mergeCell ref="A25:F25"/>
    <mergeCell ref="A26:F26"/>
    <mergeCell ref="A13:F13"/>
    <mergeCell ref="A100:F100"/>
    <mergeCell ref="A108:F108"/>
    <mergeCell ref="A87:F87"/>
    <mergeCell ref="A88:F88"/>
    <mergeCell ref="A90:F90"/>
    <mergeCell ref="A91:F91"/>
    <mergeCell ref="A33:F33"/>
    <mergeCell ref="A17:F17"/>
    <mergeCell ref="A18:F18"/>
    <mergeCell ref="A19:F19"/>
    <mergeCell ref="A20:F20"/>
    <mergeCell ref="A27:F27"/>
    <mergeCell ref="A28:F28"/>
    <mergeCell ref="A21:F21"/>
    <mergeCell ref="A109:F109"/>
    <mergeCell ref="A104:F104"/>
    <mergeCell ref="A105:F105"/>
    <mergeCell ref="A106:F106"/>
    <mergeCell ref="A107:F107"/>
    <mergeCell ref="A9:F9"/>
    <mergeCell ref="A10:F10"/>
    <mergeCell ref="A11:F11"/>
    <mergeCell ref="A12:F12"/>
    <mergeCell ref="A34:F34"/>
    <mergeCell ref="A35:F35"/>
    <mergeCell ref="A22:F22"/>
    <mergeCell ref="A23:F23"/>
    <mergeCell ref="A24:F24"/>
    <mergeCell ref="A29:F29"/>
    <mergeCell ref="A30:F30"/>
    <mergeCell ref="A31:F31"/>
    <mergeCell ref="A32:F32"/>
    <mergeCell ref="A40:F40"/>
    <mergeCell ref="A41:F41"/>
    <mergeCell ref="A42:F42"/>
    <mergeCell ref="A43:F43"/>
    <mergeCell ref="A37:F37"/>
    <mergeCell ref="A36:F36"/>
    <mergeCell ref="A38:F38"/>
    <mergeCell ref="A39:F39"/>
    <mergeCell ref="A44:F44"/>
    <mergeCell ref="A45:F45"/>
    <mergeCell ref="A58:F58"/>
    <mergeCell ref="A57:F57"/>
    <mergeCell ref="A46:F46"/>
    <mergeCell ref="A47:F47"/>
    <mergeCell ref="A59:F59"/>
    <mergeCell ref="A48:F48"/>
    <mergeCell ref="A49:F49"/>
    <mergeCell ref="A50:F50"/>
    <mergeCell ref="A51:F51"/>
    <mergeCell ref="A52:F52"/>
    <mergeCell ref="A53:F53"/>
    <mergeCell ref="A54:F54"/>
    <mergeCell ref="A55:F55"/>
    <mergeCell ref="A56:F56"/>
    <mergeCell ref="A60:F60"/>
    <mergeCell ref="A61:F61"/>
    <mergeCell ref="A76:F76"/>
    <mergeCell ref="A68:F68"/>
    <mergeCell ref="A62:F62"/>
    <mergeCell ref="A63:F63"/>
    <mergeCell ref="A64:F64"/>
    <mergeCell ref="A65:F65"/>
    <mergeCell ref="A66:F66"/>
    <mergeCell ref="A99:F99"/>
    <mergeCell ref="A81:F81"/>
    <mergeCell ref="A83:F83"/>
    <mergeCell ref="A84:F84"/>
    <mergeCell ref="A86:F86"/>
    <mergeCell ref="A89:F89"/>
    <mergeCell ref="A92:F92"/>
    <mergeCell ref="A93:F93"/>
    <mergeCell ref="A94:F94"/>
    <mergeCell ref="A95:F95"/>
    <mergeCell ref="A97:F97"/>
    <mergeCell ref="A96:F96"/>
    <mergeCell ref="A67:F67"/>
    <mergeCell ref="A77:F77"/>
    <mergeCell ref="A78:F78"/>
    <mergeCell ref="A79:F79"/>
    <mergeCell ref="A80:F80"/>
    <mergeCell ref="A72:F72"/>
    <mergeCell ref="A73:F73"/>
    <mergeCell ref="A74:F74"/>
  </mergeCells>
  <phoneticPr fontId="3" type="noConversion"/>
  <conditionalFormatting sqref="I76:J76 I78:J84 I98:J98 I95:J95 I85:IV92">
    <cfRule type="cellIs" dxfId="21" priority="1" stopIfTrue="1" operator="notEqual">
      <formula>ROUND(I76,0)</formula>
    </cfRule>
  </conditionalFormatting>
  <conditionalFormatting sqref="I9:J74 I77:J77 I96:J97 I99:J135 I93:J94">
    <cfRule type="cellIs" dxfId="20" priority="2" stopIfTrue="1" operator="notEqual">
      <formula>ROUND(I9,0)</formula>
    </cfRule>
    <cfRule type="cellIs" dxfId="19" priority="3" stopIfTrue="1" operator="lessThan">
      <formula>0</formula>
    </cfRule>
  </conditionalFormatting>
  <dataValidations count="3">
    <dataValidation type="textLength" operator="lessThan" allowBlank="1" showInputMessage="1" showErrorMessage="1" errorTitle="Redni broj bilješke" error="Redni broj bilješke mora biti text duljine najviše 10 znakova." sqref="H9:H74 H76:H135">
      <formula1>10</formula1>
    </dataValidation>
    <dataValidation type="whole" operator="greaterThanOrEqual" allowBlank="1" showInputMessage="1" showErrorMessage="1" errorTitle="Pogrešan upis" error="Dopušten je upis samo pozitivnih cjelobrojnih vrijednosti ili nule" sqref="I9:J74 I99:J135 I96:J97 I93:J94 I77:J77">
      <formula1>0</formula1>
    </dataValidation>
    <dataValidation type="whole" operator="notEqual" allowBlank="1" showInputMessage="1" showErrorMessage="1" errorTitle="Pogrešan upis" error="Dopušten je upis samo cjelobrojnih vrijednosti ili nule" sqref="I76:J76 I98:J98 I95:J95 I78:J92">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fitToHeight="0"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R114"/>
  <sheetViews>
    <sheetView showGridLines="0" showRowColHeaders="0" workbookViewId="0">
      <pane ySplit="1" topLeftCell="A77" activePane="bottomLeft" state="frozen"/>
      <selection pane="bottomLeft" activeCell="F1" sqref="F1"/>
    </sheetView>
  </sheetViews>
  <sheetFormatPr defaultColWidth="0" defaultRowHeight="12" zeroHeight="1" x14ac:dyDescent="0.2"/>
  <cols>
    <col min="1" max="6" width="10.140625" style="78" customWidth="1"/>
    <col min="7" max="7" width="6" style="78" customWidth="1"/>
    <col min="8" max="8" width="5.7109375" style="78" customWidth="1"/>
    <col min="9" max="10" width="14.7109375" style="78" customWidth="1"/>
    <col min="11" max="11" width="0.85546875" style="78" customWidth="1"/>
    <col min="12" max="12" width="9.140625" style="78" hidden="1" customWidth="1"/>
    <col min="13" max="13" width="8.7109375" style="78" hidden="1" customWidth="1"/>
    <col min="14" max="14" width="9.42578125" style="79" hidden="1" customWidth="1"/>
    <col min="15" max="15" width="9.140625" style="79" hidden="1" customWidth="1"/>
    <col min="16" max="16384" width="9.140625" style="78" hidden="1"/>
  </cols>
  <sheetData>
    <row r="1" spans="1:18" ht="24.95" customHeight="1" thickBot="1" x14ac:dyDescent="0.25">
      <c r="A1" s="139" t="s">
        <v>57</v>
      </c>
      <c r="B1" s="63" t="s">
        <v>56</v>
      </c>
      <c r="C1" s="63" t="s">
        <v>59</v>
      </c>
      <c r="D1" s="63" t="s">
        <v>2328</v>
      </c>
      <c r="E1" s="63" t="s">
        <v>794</v>
      </c>
      <c r="F1" s="63" t="s">
        <v>2824</v>
      </c>
      <c r="G1" s="63" t="s">
        <v>2748</v>
      </c>
      <c r="H1" s="63" t="s">
        <v>2749</v>
      </c>
      <c r="I1" s="63" t="s">
        <v>795</v>
      </c>
      <c r="J1" s="64" t="s">
        <v>58</v>
      </c>
      <c r="K1" s="2"/>
      <c r="L1" s="78" t="s">
        <v>572</v>
      </c>
      <c r="P1" s="79"/>
      <c r="Q1" s="70">
        <f>MAX(Q2:Q3)</f>
        <v>1</v>
      </c>
      <c r="R1" s="69" t="s">
        <v>792</v>
      </c>
    </row>
    <row r="2" spans="1:18" s="2" customFormat="1" ht="20.100000000000001" customHeight="1" x14ac:dyDescent="0.2">
      <c r="A2" s="391" t="s">
        <v>320</v>
      </c>
      <c r="B2" s="418"/>
      <c r="C2" s="418"/>
      <c r="D2" s="418"/>
      <c r="E2" s="418"/>
      <c r="F2" s="418"/>
      <c r="G2" s="418"/>
      <c r="H2" s="418"/>
      <c r="I2" s="419"/>
      <c r="J2" s="389" t="s">
        <v>1210</v>
      </c>
      <c r="Q2" s="70">
        <f>IF(OR(MIN(I8:I113)&lt;0,MAX(I8:I113)&gt;0),1,0)</f>
        <v>1</v>
      </c>
      <c r="R2" s="69" t="s">
        <v>1204</v>
      </c>
    </row>
    <row r="3" spans="1:18" s="2" customFormat="1" ht="20.100000000000001" customHeight="1" thickBot="1" x14ac:dyDescent="0.25">
      <c r="A3" s="394" t="str">
        <f xml:space="preserve"> "za razdoblje " &amp; IF(RefStr!C4&lt;&gt;"", TEXT(RefStr!C4, "DD.MM.YYYY."), "__.__.____.") &amp; " do " &amp; IF(RefStr!F4&lt;&gt;"", TEXT(RefStr!F4, "DD.MM.YYYY."),"__.__.____.")</f>
        <v>za razdoblje 01.01.2021. do 31.12.2021.</v>
      </c>
      <c r="B3" s="420"/>
      <c r="C3" s="420"/>
      <c r="D3" s="420"/>
      <c r="E3" s="420"/>
      <c r="F3" s="420"/>
      <c r="G3" s="420"/>
      <c r="H3" s="420"/>
      <c r="I3" s="421"/>
      <c r="J3" s="390"/>
      <c r="Q3" s="70">
        <f>IF(OR(MIN(J8:J113)&lt;0,MAX(J8:J113)&gt;0),1,0)</f>
        <v>1</v>
      </c>
      <c r="R3" s="69" t="s">
        <v>1205</v>
      </c>
    </row>
    <row r="4" spans="1:18" s="2" customFormat="1" ht="5.0999999999999996" customHeight="1" x14ac:dyDescent="0.2">
      <c r="A4" s="75"/>
      <c r="B4" s="76"/>
      <c r="C4" s="76"/>
      <c r="D4" s="76"/>
      <c r="E4" s="76"/>
      <c r="F4" s="76"/>
      <c r="G4" s="76"/>
      <c r="H4" s="76"/>
      <c r="I4" s="76"/>
      <c r="J4" s="77"/>
    </row>
    <row r="5" spans="1:18" s="2" customFormat="1" ht="15" customHeight="1" x14ac:dyDescent="0.2">
      <c r="A5" s="415" t="str">
        <f>"Obveznik: "&amp;IF(RefStr!C27&lt;&gt;"",RefStr!C27,"________") &amp; "; " &amp; IF(RefStr!C29&lt;&gt;"",RefStr!C29,"________________________________________________________"&amp;"; "&amp;IF(RefStr!F31&lt;&gt;"",RefStr!F31,"_______________"))</f>
        <v>Obveznik: 50327992893; POSLOVNI SUSTAVI d.o.o. RIJEKA</v>
      </c>
      <c r="B5" s="416"/>
      <c r="C5" s="416"/>
      <c r="D5" s="416"/>
      <c r="E5" s="416"/>
      <c r="F5" s="416"/>
      <c r="G5" s="416"/>
      <c r="H5" s="416"/>
      <c r="I5" s="416"/>
      <c r="J5" s="417"/>
      <c r="Q5" s="2">
        <f>IF(OR(MIN(I85:I87,I111:I113)&lt;0,MAX(I85:I87,I111:I113)&gt;0),1,0)</f>
        <v>0</v>
      </c>
      <c r="R5" s="69" t="s">
        <v>1206</v>
      </c>
    </row>
    <row r="6" spans="1:18" s="2" customFormat="1" ht="24.75" customHeight="1" thickBot="1" x14ac:dyDescent="0.25">
      <c r="A6" s="400" t="s">
        <v>955</v>
      </c>
      <c r="B6" s="401"/>
      <c r="C6" s="401"/>
      <c r="D6" s="401"/>
      <c r="E6" s="401"/>
      <c r="F6" s="401"/>
      <c r="G6" s="93" t="s">
        <v>633</v>
      </c>
      <c r="H6" s="93" t="s">
        <v>2275</v>
      </c>
      <c r="I6" s="98" t="s">
        <v>19</v>
      </c>
      <c r="J6" s="99" t="s">
        <v>20</v>
      </c>
      <c r="Q6" s="2">
        <f>IF(OR(MIN(J85:J87,J111:J113)&lt;0,MAX(J85:J87,J111:J113)&gt;0),1,0)</f>
        <v>0</v>
      </c>
      <c r="R6" s="69" t="s">
        <v>1207</v>
      </c>
    </row>
    <row r="7" spans="1:18" s="2" customFormat="1" ht="13.5" customHeight="1" x14ac:dyDescent="0.2">
      <c r="A7" s="402">
        <v>1</v>
      </c>
      <c r="B7" s="403"/>
      <c r="C7" s="403"/>
      <c r="D7" s="403"/>
      <c r="E7" s="403"/>
      <c r="F7" s="403"/>
      <c r="G7" s="101">
        <v>2</v>
      </c>
      <c r="H7" s="101">
        <v>3</v>
      </c>
      <c r="I7" s="100">
        <v>4</v>
      </c>
      <c r="J7" s="102">
        <v>5</v>
      </c>
      <c r="Q7" s="2">
        <f>IF(OR(MIN(RDG!I89:J109)&lt;0,MAX(RDG!I89:J109)&gt;0),1,0)</f>
        <v>0</v>
      </c>
      <c r="R7" s="69" t="s">
        <v>634</v>
      </c>
    </row>
    <row r="8" spans="1:18" s="2" customFormat="1" ht="14.45" customHeight="1" x14ac:dyDescent="0.2">
      <c r="A8" s="424" t="s">
        <v>2491</v>
      </c>
      <c r="B8" s="424"/>
      <c r="C8" s="424"/>
      <c r="D8" s="424"/>
      <c r="E8" s="424"/>
      <c r="F8" s="424"/>
      <c r="G8" s="13">
        <v>127</v>
      </c>
      <c r="H8" s="14"/>
      <c r="I8" s="80">
        <f>SUM(I9:I13)</f>
        <v>17566831</v>
      </c>
      <c r="J8" s="80">
        <f>SUM(J9:J13)</f>
        <v>14221829</v>
      </c>
      <c r="Q8" s="2">
        <f>IF(OR(MIN(I70:J75)&lt;&gt;0,MAX(I70:J75)&lt;&gt;0),1,0)</f>
        <v>0</v>
      </c>
      <c r="R8" s="69" t="s">
        <v>1215</v>
      </c>
    </row>
    <row r="9" spans="1:18" s="2" customFormat="1" ht="14.45" customHeight="1" x14ac:dyDescent="0.2">
      <c r="A9" s="385" t="s">
        <v>347</v>
      </c>
      <c r="B9" s="385"/>
      <c r="C9" s="385"/>
      <c r="D9" s="385"/>
      <c r="E9" s="385"/>
      <c r="F9" s="385"/>
      <c r="G9" s="15">
        <v>128</v>
      </c>
      <c r="H9" s="16"/>
      <c r="I9" s="67"/>
      <c r="J9" s="67"/>
    </row>
    <row r="10" spans="1:18" s="2" customFormat="1" ht="14.45" customHeight="1" x14ac:dyDescent="0.2">
      <c r="A10" s="385" t="s">
        <v>964</v>
      </c>
      <c r="B10" s="385"/>
      <c r="C10" s="385"/>
      <c r="D10" s="385"/>
      <c r="E10" s="385"/>
      <c r="F10" s="385"/>
      <c r="G10" s="15">
        <v>129</v>
      </c>
      <c r="H10" s="16"/>
      <c r="I10" s="67">
        <v>16560268</v>
      </c>
      <c r="J10" s="67">
        <v>13616591</v>
      </c>
    </row>
    <row r="11" spans="1:18" s="2" customFormat="1" ht="14.45" customHeight="1" x14ac:dyDescent="0.2">
      <c r="A11" s="385" t="s">
        <v>1086</v>
      </c>
      <c r="B11" s="385"/>
      <c r="C11" s="385"/>
      <c r="D11" s="385"/>
      <c r="E11" s="385"/>
      <c r="F11" s="385"/>
      <c r="G11" s="15">
        <v>130</v>
      </c>
      <c r="H11" s="16"/>
      <c r="I11" s="67"/>
      <c r="J11" s="67"/>
    </row>
    <row r="12" spans="1:18" s="2" customFormat="1" ht="14.45" customHeight="1" x14ac:dyDescent="0.2">
      <c r="A12" s="385" t="s">
        <v>1087</v>
      </c>
      <c r="B12" s="385"/>
      <c r="C12" s="385"/>
      <c r="D12" s="385"/>
      <c r="E12" s="385"/>
      <c r="F12" s="385"/>
      <c r="G12" s="15">
        <v>131</v>
      </c>
      <c r="H12" s="16"/>
      <c r="I12" s="67"/>
      <c r="J12" s="67"/>
    </row>
    <row r="13" spans="1:18" s="2" customFormat="1" ht="14.45" customHeight="1" x14ac:dyDescent="0.2">
      <c r="A13" s="385" t="s">
        <v>2922</v>
      </c>
      <c r="B13" s="385"/>
      <c r="C13" s="385"/>
      <c r="D13" s="385"/>
      <c r="E13" s="385"/>
      <c r="F13" s="385"/>
      <c r="G13" s="15">
        <v>132</v>
      </c>
      <c r="H13" s="16"/>
      <c r="I13" s="67">
        <v>1006563</v>
      </c>
      <c r="J13" s="67">
        <v>605238</v>
      </c>
    </row>
    <row r="14" spans="1:18" s="2" customFormat="1" ht="14.45" customHeight="1" x14ac:dyDescent="0.2">
      <c r="A14" s="387" t="s">
        <v>2492</v>
      </c>
      <c r="B14" s="387"/>
      <c r="C14" s="387"/>
      <c r="D14" s="387"/>
      <c r="E14" s="387"/>
      <c r="F14" s="387"/>
      <c r="G14" s="15">
        <v>133</v>
      </c>
      <c r="H14" s="16"/>
      <c r="I14" s="66">
        <f>I15+I16+I20+I24+I25+I26+I29+I36</f>
        <v>16200577</v>
      </c>
      <c r="J14" s="66">
        <f>J15+J16+J20+J24+J25+J26+J29+J36</f>
        <v>13654677</v>
      </c>
    </row>
    <row r="15" spans="1:18" s="2" customFormat="1" ht="14.45" customHeight="1" x14ac:dyDescent="0.2">
      <c r="A15" s="385" t="s">
        <v>1005</v>
      </c>
      <c r="B15" s="385"/>
      <c r="C15" s="385"/>
      <c r="D15" s="385"/>
      <c r="E15" s="385"/>
      <c r="F15" s="385"/>
      <c r="G15" s="15">
        <v>134</v>
      </c>
      <c r="H15" s="16"/>
      <c r="I15" s="67"/>
      <c r="J15" s="67"/>
      <c r="L15" s="2" t="s">
        <v>1209</v>
      </c>
    </row>
    <row r="16" spans="1:18" s="2" customFormat="1" ht="14.45" customHeight="1" x14ac:dyDescent="0.2">
      <c r="A16" s="385" t="s">
        <v>2493</v>
      </c>
      <c r="B16" s="385"/>
      <c r="C16" s="385"/>
      <c r="D16" s="385"/>
      <c r="E16" s="385"/>
      <c r="F16" s="385"/>
      <c r="G16" s="15">
        <v>135</v>
      </c>
      <c r="H16" s="16"/>
      <c r="I16" s="66">
        <f>SUM(I17:I19)</f>
        <v>1531238</v>
      </c>
      <c r="J16" s="66">
        <f>SUM(J17:J19)</f>
        <v>1522564</v>
      </c>
    </row>
    <row r="17" spans="1:12" s="2" customFormat="1" ht="14.45" customHeight="1" x14ac:dyDescent="0.2">
      <c r="A17" s="414" t="s">
        <v>1273</v>
      </c>
      <c r="B17" s="414"/>
      <c r="C17" s="414"/>
      <c r="D17" s="414"/>
      <c r="E17" s="414"/>
      <c r="F17" s="414"/>
      <c r="G17" s="15">
        <v>136</v>
      </c>
      <c r="H17" s="16"/>
      <c r="I17" s="67">
        <v>350041</v>
      </c>
      <c r="J17" s="67">
        <v>317412</v>
      </c>
    </row>
    <row r="18" spans="1:12" s="2" customFormat="1" ht="14.45" customHeight="1" x14ac:dyDescent="0.2">
      <c r="A18" s="414" t="s">
        <v>1274</v>
      </c>
      <c r="B18" s="414"/>
      <c r="C18" s="414"/>
      <c r="D18" s="414"/>
      <c r="E18" s="414"/>
      <c r="F18" s="414"/>
      <c r="G18" s="15">
        <v>137</v>
      </c>
      <c r="H18" s="16"/>
      <c r="I18" s="67"/>
      <c r="J18" s="67"/>
    </row>
    <row r="19" spans="1:12" s="2" customFormat="1" ht="14.45" customHeight="1" x14ac:dyDescent="0.2">
      <c r="A19" s="414" t="s">
        <v>2959</v>
      </c>
      <c r="B19" s="414"/>
      <c r="C19" s="414"/>
      <c r="D19" s="414"/>
      <c r="E19" s="414"/>
      <c r="F19" s="414"/>
      <c r="G19" s="15">
        <v>138</v>
      </c>
      <c r="H19" s="16"/>
      <c r="I19" s="67">
        <v>1181197</v>
      </c>
      <c r="J19" s="67">
        <v>1205152</v>
      </c>
    </row>
    <row r="20" spans="1:12" s="2" customFormat="1" ht="14.45" customHeight="1" x14ac:dyDescent="0.2">
      <c r="A20" s="385" t="s">
        <v>2494</v>
      </c>
      <c r="B20" s="385"/>
      <c r="C20" s="385"/>
      <c r="D20" s="385"/>
      <c r="E20" s="385"/>
      <c r="F20" s="385"/>
      <c r="G20" s="15">
        <v>139</v>
      </c>
      <c r="H20" s="16"/>
      <c r="I20" s="66">
        <f>SUM(I21:I23)</f>
        <v>12733314</v>
      </c>
      <c r="J20" s="66">
        <f>SUM(J21:J23)</f>
        <v>10216466</v>
      </c>
    </row>
    <row r="21" spans="1:12" s="2" customFormat="1" ht="14.45" customHeight="1" x14ac:dyDescent="0.2">
      <c r="A21" s="414" t="s">
        <v>960</v>
      </c>
      <c r="B21" s="414"/>
      <c r="C21" s="414"/>
      <c r="D21" s="414"/>
      <c r="E21" s="414"/>
      <c r="F21" s="414"/>
      <c r="G21" s="15">
        <v>140</v>
      </c>
      <c r="H21" s="16"/>
      <c r="I21" s="67">
        <v>7891782</v>
      </c>
      <c r="J21" s="67">
        <v>6425463</v>
      </c>
    </row>
    <row r="22" spans="1:12" s="2" customFormat="1" ht="14.45" customHeight="1" x14ac:dyDescent="0.2">
      <c r="A22" s="414" t="s">
        <v>1883</v>
      </c>
      <c r="B22" s="414"/>
      <c r="C22" s="414"/>
      <c r="D22" s="414"/>
      <c r="E22" s="414"/>
      <c r="F22" s="414"/>
      <c r="G22" s="15">
        <v>141</v>
      </c>
      <c r="H22" s="16"/>
      <c r="I22" s="67">
        <v>3097638</v>
      </c>
      <c r="J22" s="67">
        <v>2392610</v>
      </c>
    </row>
    <row r="23" spans="1:12" s="2" customFormat="1" ht="14.45" customHeight="1" x14ac:dyDescent="0.2">
      <c r="A23" s="414" t="s">
        <v>1884</v>
      </c>
      <c r="B23" s="414"/>
      <c r="C23" s="414"/>
      <c r="D23" s="414"/>
      <c r="E23" s="414"/>
      <c r="F23" s="414"/>
      <c r="G23" s="15">
        <v>142</v>
      </c>
      <c r="H23" s="16"/>
      <c r="I23" s="67">
        <v>1743894</v>
      </c>
      <c r="J23" s="67">
        <v>1398393</v>
      </c>
    </row>
    <row r="24" spans="1:12" s="2" customFormat="1" ht="14.45" customHeight="1" x14ac:dyDescent="0.2">
      <c r="A24" s="385" t="s">
        <v>1006</v>
      </c>
      <c r="B24" s="385"/>
      <c r="C24" s="385"/>
      <c r="D24" s="385"/>
      <c r="E24" s="385"/>
      <c r="F24" s="385"/>
      <c r="G24" s="15">
        <v>143</v>
      </c>
      <c r="H24" s="16"/>
      <c r="I24" s="67">
        <v>293174</v>
      </c>
      <c r="J24" s="67">
        <v>232723</v>
      </c>
    </row>
    <row r="25" spans="1:12" s="2" customFormat="1" ht="14.45" customHeight="1" x14ac:dyDescent="0.2">
      <c r="A25" s="385" t="s">
        <v>1007</v>
      </c>
      <c r="B25" s="385"/>
      <c r="C25" s="385"/>
      <c r="D25" s="385"/>
      <c r="E25" s="385"/>
      <c r="F25" s="385"/>
      <c r="G25" s="15">
        <v>144</v>
      </c>
      <c r="H25" s="16"/>
      <c r="I25" s="67">
        <v>1038058</v>
      </c>
      <c r="J25" s="67">
        <v>1185213</v>
      </c>
    </row>
    <row r="26" spans="1:12" s="2" customFormat="1" ht="14.45" customHeight="1" x14ac:dyDescent="0.2">
      <c r="A26" s="385" t="s">
        <v>2495</v>
      </c>
      <c r="B26" s="385"/>
      <c r="C26" s="385"/>
      <c r="D26" s="385"/>
      <c r="E26" s="385"/>
      <c r="F26" s="385"/>
      <c r="G26" s="15">
        <v>145</v>
      </c>
      <c r="H26" s="16"/>
      <c r="I26" s="66">
        <f>SUM(I27:I28)</f>
        <v>0</v>
      </c>
      <c r="J26" s="66">
        <f>SUM(J27:J28)</f>
        <v>0</v>
      </c>
      <c r="L26" s="2" t="s">
        <v>1209</v>
      </c>
    </row>
    <row r="27" spans="1:12" s="2" customFormat="1" ht="14.45" customHeight="1" x14ac:dyDescent="0.2">
      <c r="A27" s="414" t="s">
        <v>1275</v>
      </c>
      <c r="B27" s="414"/>
      <c r="C27" s="414"/>
      <c r="D27" s="414"/>
      <c r="E27" s="414"/>
      <c r="F27" s="414"/>
      <c r="G27" s="15">
        <v>146</v>
      </c>
      <c r="H27" s="16"/>
      <c r="I27" s="67"/>
      <c r="J27" s="67"/>
      <c r="L27" s="2" t="s">
        <v>1209</v>
      </c>
    </row>
    <row r="28" spans="1:12" s="2" customFormat="1" ht="14.45" customHeight="1" x14ac:dyDescent="0.2">
      <c r="A28" s="414" t="s">
        <v>1276</v>
      </c>
      <c r="B28" s="414"/>
      <c r="C28" s="414"/>
      <c r="D28" s="414"/>
      <c r="E28" s="414"/>
      <c r="F28" s="414"/>
      <c r="G28" s="15">
        <v>147</v>
      </c>
      <c r="H28" s="16"/>
      <c r="I28" s="67"/>
      <c r="J28" s="67"/>
      <c r="L28" s="2" t="s">
        <v>1209</v>
      </c>
    </row>
    <row r="29" spans="1:12" s="2" customFormat="1" ht="14.45" customHeight="1" x14ac:dyDescent="0.2">
      <c r="A29" s="385" t="s">
        <v>2496</v>
      </c>
      <c r="B29" s="385"/>
      <c r="C29" s="385"/>
      <c r="D29" s="385"/>
      <c r="E29" s="385"/>
      <c r="F29" s="385"/>
      <c r="G29" s="15">
        <v>148</v>
      </c>
      <c r="H29" s="16"/>
      <c r="I29" s="66">
        <f>SUM(I30:I35)</f>
        <v>521817</v>
      </c>
      <c r="J29" s="66">
        <f>SUM(J30:J35)</f>
        <v>453360</v>
      </c>
      <c r="L29" s="2" t="s">
        <v>1209</v>
      </c>
    </row>
    <row r="30" spans="1:12" s="2" customFormat="1" ht="14.45" customHeight="1" x14ac:dyDescent="0.2">
      <c r="A30" s="414" t="s">
        <v>1277</v>
      </c>
      <c r="B30" s="414"/>
      <c r="C30" s="414"/>
      <c r="D30" s="414"/>
      <c r="E30" s="414"/>
      <c r="F30" s="414"/>
      <c r="G30" s="15">
        <v>149</v>
      </c>
      <c r="H30" s="16"/>
      <c r="I30" s="67">
        <v>521817</v>
      </c>
      <c r="J30" s="67">
        <v>453360</v>
      </c>
      <c r="L30" s="2" t="s">
        <v>1209</v>
      </c>
    </row>
    <row r="31" spans="1:12" s="2" customFormat="1" ht="14.45" customHeight="1" x14ac:dyDescent="0.2">
      <c r="A31" s="414" t="s">
        <v>1278</v>
      </c>
      <c r="B31" s="414"/>
      <c r="C31" s="414"/>
      <c r="D31" s="414"/>
      <c r="E31" s="414"/>
      <c r="F31" s="414"/>
      <c r="G31" s="15">
        <v>150</v>
      </c>
      <c r="H31" s="16"/>
      <c r="I31" s="67"/>
      <c r="J31" s="67"/>
      <c r="L31" s="2" t="s">
        <v>1209</v>
      </c>
    </row>
    <row r="32" spans="1:12" s="2" customFormat="1" ht="14.45" customHeight="1" x14ac:dyDescent="0.2">
      <c r="A32" s="414" t="s">
        <v>1279</v>
      </c>
      <c r="B32" s="414"/>
      <c r="C32" s="414"/>
      <c r="D32" s="414"/>
      <c r="E32" s="414"/>
      <c r="F32" s="414"/>
      <c r="G32" s="15">
        <v>151</v>
      </c>
      <c r="H32" s="16"/>
      <c r="I32" s="67"/>
      <c r="J32" s="67"/>
      <c r="L32" s="2" t="s">
        <v>1209</v>
      </c>
    </row>
    <row r="33" spans="1:12" s="2" customFormat="1" ht="14.45" customHeight="1" x14ac:dyDescent="0.2">
      <c r="A33" s="414" t="s">
        <v>1280</v>
      </c>
      <c r="B33" s="414"/>
      <c r="C33" s="414"/>
      <c r="D33" s="414"/>
      <c r="E33" s="414"/>
      <c r="F33" s="414"/>
      <c r="G33" s="15">
        <v>152</v>
      </c>
      <c r="H33" s="16"/>
      <c r="I33" s="67"/>
      <c r="J33" s="67"/>
      <c r="L33" s="2" t="s">
        <v>1209</v>
      </c>
    </row>
    <row r="34" spans="1:12" s="2" customFormat="1" ht="14.45" customHeight="1" x14ac:dyDescent="0.2">
      <c r="A34" s="414" t="s">
        <v>1281</v>
      </c>
      <c r="B34" s="414"/>
      <c r="C34" s="414"/>
      <c r="D34" s="414"/>
      <c r="E34" s="414"/>
      <c r="F34" s="414"/>
      <c r="G34" s="15">
        <v>153</v>
      </c>
      <c r="H34" s="16"/>
      <c r="I34" s="67"/>
      <c r="J34" s="67"/>
      <c r="L34" s="2" t="s">
        <v>1209</v>
      </c>
    </row>
    <row r="35" spans="1:12" s="2" customFormat="1" ht="14.45" customHeight="1" x14ac:dyDescent="0.2">
      <c r="A35" s="414" t="s">
        <v>1282</v>
      </c>
      <c r="B35" s="414"/>
      <c r="C35" s="414"/>
      <c r="D35" s="414"/>
      <c r="E35" s="414"/>
      <c r="F35" s="414"/>
      <c r="G35" s="15">
        <v>154</v>
      </c>
      <c r="H35" s="16"/>
      <c r="I35" s="67"/>
      <c r="J35" s="67"/>
      <c r="L35" s="2" t="s">
        <v>1209</v>
      </c>
    </row>
    <row r="36" spans="1:12" s="2" customFormat="1" ht="14.45" customHeight="1" x14ac:dyDescent="0.2">
      <c r="A36" s="385" t="s">
        <v>147</v>
      </c>
      <c r="B36" s="385"/>
      <c r="C36" s="385"/>
      <c r="D36" s="385"/>
      <c r="E36" s="385"/>
      <c r="F36" s="385"/>
      <c r="G36" s="15">
        <v>155</v>
      </c>
      <c r="H36" s="16"/>
      <c r="I36" s="67">
        <v>82976</v>
      </c>
      <c r="J36" s="67">
        <v>44351</v>
      </c>
    </row>
    <row r="37" spans="1:12" s="2" customFormat="1" ht="14.45" customHeight="1" x14ac:dyDescent="0.2">
      <c r="A37" s="387" t="s">
        <v>2497</v>
      </c>
      <c r="B37" s="387"/>
      <c r="C37" s="387"/>
      <c r="D37" s="387"/>
      <c r="E37" s="387"/>
      <c r="F37" s="387"/>
      <c r="G37" s="15">
        <v>156</v>
      </c>
      <c r="H37" s="16"/>
      <c r="I37" s="66">
        <f>SUM(I38:I47)</f>
        <v>1400</v>
      </c>
      <c r="J37" s="66">
        <f>SUM(J38:J47)</f>
        <v>1555</v>
      </c>
    </row>
    <row r="38" spans="1:12" s="2" customFormat="1" ht="14.45" customHeight="1" x14ac:dyDescent="0.2">
      <c r="A38" s="385" t="s">
        <v>346</v>
      </c>
      <c r="B38" s="385"/>
      <c r="C38" s="385"/>
      <c r="D38" s="385"/>
      <c r="E38" s="385"/>
      <c r="F38" s="385"/>
      <c r="G38" s="15">
        <v>157</v>
      </c>
      <c r="H38" s="16"/>
      <c r="I38" s="67"/>
      <c r="J38" s="67"/>
    </row>
    <row r="39" spans="1:12" s="2" customFormat="1" ht="24" customHeight="1" x14ac:dyDescent="0.2">
      <c r="A39" s="385" t="s">
        <v>2361</v>
      </c>
      <c r="B39" s="385"/>
      <c r="C39" s="385"/>
      <c r="D39" s="385"/>
      <c r="E39" s="385"/>
      <c r="F39" s="385"/>
      <c r="G39" s="15">
        <v>158</v>
      </c>
      <c r="H39" s="16"/>
      <c r="I39" s="67"/>
      <c r="J39" s="67"/>
    </row>
    <row r="40" spans="1:12" s="2" customFormat="1" ht="24" customHeight="1" x14ac:dyDescent="0.2">
      <c r="A40" s="385" t="s">
        <v>345</v>
      </c>
      <c r="B40" s="385"/>
      <c r="C40" s="385"/>
      <c r="D40" s="385"/>
      <c r="E40" s="385"/>
      <c r="F40" s="385"/>
      <c r="G40" s="15">
        <v>159</v>
      </c>
      <c r="H40" s="16"/>
      <c r="I40" s="67"/>
      <c r="J40" s="67"/>
    </row>
    <row r="41" spans="1:12" s="2" customFormat="1" ht="14.45" customHeight="1" x14ac:dyDescent="0.2">
      <c r="A41" s="385" t="s">
        <v>2964</v>
      </c>
      <c r="B41" s="385"/>
      <c r="C41" s="385"/>
      <c r="D41" s="385"/>
      <c r="E41" s="385"/>
      <c r="F41" s="385"/>
      <c r="G41" s="15">
        <v>160</v>
      </c>
      <c r="H41" s="16"/>
      <c r="I41" s="67"/>
      <c r="J41" s="67"/>
    </row>
    <row r="42" spans="1:12" s="2" customFormat="1" ht="24" customHeight="1" x14ac:dyDescent="0.2">
      <c r="A42" s="385" t="s">
        <v>2362</v>
      </c>
      <c r="B42" s="385"/>
      <c r="C42" s="385"/>
      <c r="D42" s="385"/>
      <c r="E42" s="385"/>
      <c r="F42" s="385"/>
      <c r="G42" s="15">
        <v>161</v>
      </c>
      <c r="H42" s="16"/>
      <c r="I42" s="67"/>
      <c r="J42" s="67"/>
    </row>
    <row r="43" spans="1:12" s="2" customFormat="1" ht="14.45" customHeight="1" x14ac:dyDescent="0.2">
      <c r="A43" s="385" t="s">
        <v>2963</v>
      </c>
      <c r="B43" s="385"/>
      <c r="C43" s="385"/>
      <c r="D43" s="385"/>
      <c r="E43" s="385"/>
      <c r="F43" s="385"/>
      <c r="G43" s="15">
        <v>162</v>
      </c>
      <c r="H43" s="16"/>
      <c r="I43" s="67"/>
      <c r="J43" s="67"/>
    </row>
    <row r="44" spans="1:12" s="2" customFormat="1" ht="14.45" customHeight="1" x14ac:dyDescent="0.2">
      <c r="A44" s="385" t="s">
        <v>2962</v>
      </c>
      <c r="B44" s="385"/>
      <c r="C44" s="385"/>
      <c r="D44" s="385"/>
      <c r="E44" s="385"/>
      <c r="F44" s="385"/>
      <c r="G44" s="15">
        <v>163</v>
      </c>
      <c r="H44" s="16"/>
      <c r="I44" s="67">
        <v>1400</v>
      </c>
      <c r="J44" s="67">
        <v>1555</v>
      </c>
    </row>
    <row r="45" spans="1:12" s="2" customFormat="1" ht="14.45" customHeight="1" x14ac:dyDescent="0.2">
      <c r="A45" s="385" t="s">
        <v>2961</v>
      </c>
      <c r="B45" s="385"/>
      <c r="C45" s="385"/>
      <c r="D45" s="385"/>
      <c r="E45" s="385"/>
      <c r="F45" s="385"/>
      <c r="G45" s="15">
        <v>164</v>
      </c>
      <c r="H45" s="16"/>
      <c r="I45" s="67"/>
      <c r="J45" s="67"/>
    </row>
    <row r="46" spans="1:12" s="2" customFormat="1" ht="14.45" customHeight="1" x14ac:dyDescent="0.2">
      <c r="A46" s="385" t="s">
        <v>2960</v>
      </c>
      <c r="B46" s="385"/>
      <c r="C46" s="385"/>
      <c r="D46" s="385"/>
      <c r="E46" s="385"/>
      <c r="F46" s="385"/>
      <c r="G46" s="15">
        <v>165</v>
      </c>
      <c r="H46" s="16"/>
      <c r="I46" s="67"/>
      <c r="J46" s="67"/>
    </row>
    <row r="47" spans="1:12" s="2" customFormat="1" ht="14.45" customHeight="1" x14ac:dyDescent="0.2">
      <c r="A47" s="385" t="s">
        <v>2956</v>
      </c>
      <c r="B47" s="385"/>
      <c r="C47" s="385"/>
      <c r="D47" s="385"/>
      <c r="E47" s="385"/>
      <c r="F47" s="385"/>
      <c r="G47" s="15">
        <v>166</v>
      </c>
      <c r="H47" s="16"/>
      <c r="I47" s="67"/>
      <c r="J47" s="67"/>
    </row>
    <row r="48" spans="1:12" s="2" customFormat="1" ht="14.45" customHeight="1" x14ac:dyDescent="0.2">
      <c r="A48" s="387" t="s">
        <v>2498</v>
      </c>
      <c r="B48" s="387"/>
      <c r="C48" s="387"/>
      <c r="D48" s="387"/>
      <c r="E48" s="387"/>
      <c r="F48" s="387"/>
      <c r="G48" s="15">
        <v>167</v>
      </c>
      <c r="H48" s="16"/>
      <c r="I48" s="66">
        <f>SUM(I49:I55)</f>
        <v>17</v>
      </c>
      <c r="J48" s="66">
        <f>SUM(J49:J55)</f>
        <v>203</v>
      </c>
    </row>
    <row r="49" spans="1:12" s="2" customFormat="1" ht="14.45" customHeight="1" x14ac:dyDescent="0.2">
      <c r="A49" s="385" t="s">
        <v>2957</v>
      </c>
      <c r="B49" s="385"/>
      <c r="C49" s="385"/>
      <c r="D49" s="385"/>
      <c r="E49" s="385"/>
      <c r="F49" s="385"/>
      <c r="G49" s="15">
        <v>168</v>
      </c>
      <c r="H49" s="16"/>
      <c r="I49" s="67"/>
      <c r="J49" s="67"/>
    </row>
    <row r="50" spans="1:12" s="2" customFormat="1" ht="14.45" customHeight="1" x14ac:dyDescent="0.2">
      <c r="A50" s="413" t="s">
        <v>1088</v>
      </c>
      <c r="B50" s="413"/>
      <c r="C50" s="413"/>
      <c r="D50" s="413"/>
      <c r="E50" s="413"/>
      <c r="F50" s="413"/>
      <c r="G50" s="15">
        <v>169</v>
      </c>
      <c r="H50" s="16"/>
      <c r="I50" s="67"/>
      <c r="J50" s="67"/>
    </row>
    <row r="51" spans="1:12" s="2" customFormat="1" ht="14.45" customHeight="1" x14ac:dyDescent="0.2">
      <c r="A51" s="413" t="s">
        <v>1089</v>
      </c>
      <c r="B51" s="413"/>
      <c r="C51" s="413"/>
      <c r="D51" s="413"/>
      <c r="E51" s="413"/>
      <c r="F51" s="413"/>
      <c r="G51" s="15">
        <v>170</v>
      </c>
      <c r="H51" s="16"/>
      <c r="I51" s="67">
        <v>17</v>
      </c>
      <c r="J51" s="67">
        <v>203</v>
      </c>
    </row>
    <row r="52" spans="1:12" s="2" customFormat="1" ht="14.45" customHeight="1" x14ac:dyDescent="0.2">
      <c r="A52" s="413" t="s">
        <v>1090</v>
      </c>
      <c r="B52" s="413"/>
      <c r="C52" s="413"/>
      <c r="D52" s="413"/>
      <c r="E52" s="413"/>
      <c r="F52" s="413"/>
      <c r="G52" s="15">
        <v>171</v>
      </c>
      <c r="H52" s="16"/>
      <c r="I52" s="67"/>
      <c r="J52" s="67"/>
    </row>
    <row r="53" spans="1:12" s="2" customFormat="1" ht="14.45" customHeight="1" x14ac:dyDescent="0.2">
      <c r="A53" s="413" t="s">
        <v>1091</v>
      </c>
      <c r="B53" s="413"/>
      <c r="C53" s="413"/>
      <c r="D53" s="413"/>
      <c r="E53" s="413"/>
      <c r="F53" s="413"/>
      <c r="G53" s="15">
        <v>172</v>
      </c>
      <c r="H53" s="16"/>
      <c r="I53" s="67"/>
      <c r="J53" s="67"/>
    </row>
    <row r="54" spans="1:12" s="2" customFormat="1" ht="14.45" customHeight="1" x14ac:dyDescent="0.2">
      <c r="A54" s="413" t="s">
        <v>1092</v>
      </c>
      <c r="B54" s="413"/>
      <c r="C54" s="413"/>
      <c r="D54" s="413"/>
      <c r="E54" s="413"/>
      <c r="F54" s="413"/>
      <c r="G54" s="15">
        <v>173</v>
      </c>
      <c r="H54" s="16"/>
      <c r="I54" s="67"/>
      <c r="J54" s="67"/>
      <c r="L54" s="2" t="s">
        <v>1209</v>
      </c>
    </row>
    <row r="55" spans="1:12" s="2" customFormat="1" ht="14.45" customHeight="1" x14ac:dyDescent="0.2">
      <c r="A55" s="413" t="s">
        <v>1093</v>
      </c>
      <c r="B55" s="413"/>
      <c r="C55" s="413"/>
      <c r="D55" s="413"/>
      <c r="E55" s="413"/>
      <c r="F55" s="413"/>
      <c r="G55" s="15">
        <v>174</v>
      </c>
      <c r="H55" s="16"/>
      <c r="I55" s="67"/>
      <c r="J55" s="67"/>
    </row>
    <row r="56" spans="1:12" s="2" customFormat="1" ht="24.95" customHeight="1" x14ac:dyDescent="0.2">
      <c r="A56" s="387" t="s">
        <v>2363</v>
      </c>
      <c r="B56" s="387"/>
      <c r="C56" s="387"/>
      <c r="D56" s="387"/>
      <c r="E56" s="387"/>
      <c r="F56" s="387"/>
      <c r="G56" s="15">
        <v>175</v>
      </c>
      <c r="H56" s="16"/>
      <c r="I56" s="67"/>
      <c r="J56" s="67"/>
    </row>
    <row r="57" spans="1:12" s="2" customFormat="1" ht="14.45" customHeight="1" x14ac:dyDescent="0.2">
      <c r="A57" s="387" t="s">
        <v>1094</v>
      </c>
      <c r="B57" s="387"/>
      <c r="C57" s="387"/>
      <c r="D57" s="387"/>
      <c r="E57" s="387"/>
      <c r="F57" s="387"/>
      <c r="G57" s="15">
        <v>176</v>
      </c>
      <c r="H57" s="16"/>
      <c r="I57" s="67"/>
      <c r="J57" s="67"/>
    </row>
    <row r="58" spans="1:12" s="2" customFormat="1" ht="24.75" customHeight="1" x14ac:dyDescent="0.2">
      <c r="A58" s="387" t="s">
        <v>1095</v>
      </c>
      <c r="B58" s="387"/>
      <c r="C58" s="387"/>
      <c r="D58" s="387"/>
      <c r="E58" s="387"/>
      <c r="F58" s="387"/>
      <c r="G58" s="15">
        <v>177</v>
      </c>
      <c r="H58" s="16"/>
      <c r="I58" s="67"/>
      <c r="J58" s="67"/>
    </row>
    <row r="59" spans="1:12" s="2" customFormat="1" ht="14.45" customHeight="1" x14ac:dyDescent="0.2">
      <c r="A59" s="387" t="s">
        <v>1096</v>
      </c>
      <c r="B59" s="387"/>
      <c r="C59" s="387"/>
      <c r="D59" s="387"/>
      <c r="E59" s="387"/>
      <c r="F59" s="387"/>
      <c r="G59" s="15">
        <v>178</v>
      </c>
      <c r="H59" s="16"/>
      <c r="I59" s="67"/>
      <c r="J59" s="67"/>
    </row>
    <row r="60" spans="1:12" s="2" customFormat="1" ht="14.45" customHeight="1" x14ac:dyDescent="0.2">
      <c r="A60" s="387" t="s">
        <v>2499</v>
      </c>
      <c r="B60" s="387"/>
      <c r="C60" s="387"/>
      <c r="D60" s="387"/>
      <c r="E60" s="387"/>
      <c r="F60" s="387"/>
      <c r="G60" s="15">
        <v>179</v>
      </c>
      <c r="H60" s="16"/>
      <c r="I60" s="66">
        <f>I8+I37+I56+I57</f>
        <v>17568231</v>
      </c>
      <c r="J60" s="66">
        <f>J8+J37+J56+J57</f>
        <v>14223384</v>
      </c>
    </row>
    <row r="61" spans="1:12" s="2" customFormat="1" ht="14.45" customHeight="1" x14ac:dyDescent="0.2">
      <c r="A61" s="387" t="s">
        <v>2500</v>
      </c>
      <c r="B61" s="387"/>
      <c r="C61" s="387"/>
      <c r="D61" s="387"/>
      <c r="E61" s="387"/>
      <c r="F61" s="387"/>
      <c r="G61" s="15">
        <v>180</v>
      </c>
      <c r="H61" s="16"/>
      <c r="I61" s="66">
        <f>I14+I48+I58+I59</f>
        <v>16200594</v>
      </c>
      <c r="J61" s="66">
        <f>J14+J48+J58+J59</f>
        <v>13654880</v>
      </c>
    </row>
    <row r="62" spans="1:12" s="2" customFormat="1" ht="14.45" customHeight="1" x14ac:dyDescent="0.2">
      <c r="A62" s="387" t="s">
        <v>2501</v>
      </c>
      <c r="B62" s="387"/>
      <c r="C62" s="387"/>
      <c r="D62" s="387"/>
      <c r="E62" s="387"/>
      <c r="F62" s="387"/>
      <c r="G62" s="15">
        <v>181</v>
      </c>
      <c r="H62" s="16"/>
      <c r="I62" s="66">
        <f>I60-I61</f>
        <v>1367637</v>
      </c>
      <c r="J62" s="66">
        <f>J60-J61</f>
        <v>568504</v>
      </c>
      <c r="L62" s="2" t="s">
        <v>1209</v>
      </c>
    </row>
    <row r="63" spans="1:12" s="2" customFormat="1" ht="14.45" customHeight="1" x14ac:dyDescent="0.2">
      <c r="A63" s="413" t="s">
        <v>2502</v>
      </c>
      <c r="B63" s="413"/>
      <c r="C63" s="413"/>
      <c r="D63" s="413"/>
      <c r="E63" s="413"/>
      <c r="F63" s="413"/>
      <c r="G63" s="15">
        <v>182</v>
      </c>
      <c r="H63" s="16"/>
      <c r="I63" s="66">
        <f>IF(I60&gt;I61,I60-I61,0)</f>
        <v>1367637</v>
      </c>
      <c r="J63" s="66">
        <f>IF(J60&gt;J61,J60-J61,0)</f>
        <v>568504</v>
      </c>
    </row>
    <row r="64" spans="1:12" s="2" customFormat="1" ht="14.45" customHeight="1" x14ac:dyDescent="0.2">
      <c r="A64" s="413" t="s">
        <v>2503</v>
      </c>
      <c r="B64" s="413"/>
      <c r="C64" s="413"/>
      <c r="D64" s="413"/>
      <c r="E64" s="413"/>
      <c r="F64" s="413"/>
      <c r="G64" s="15">
        <v>183</v>
      </c>
      <c r="H64" s="16"/>
      <c r="I64" s="66">
        <f>IF(I61&gt;I60,I61-I60,0)</f>
        <v>0</v>
      </c>
      <c r="J64" s="66">
        <f>IF(J61&gt;J60,J61-J60,0)</f>
        <v>0</v>
      </c>
    </row>
    <row r="65" spans="1:12" s="2" customFormat="1" ht="14.45" customHeight="1" x14ac:dyDescent="0.2">
      <c r="A65" s="387" t="s">
        <v>1238</v>
      </c>
      <c r="B65" s="387"/>
      <c r="C65" s="387"/>
      <c r="D65" s="387"/>
      <c r="E65" s="387"/>
      <c r="F65" s="387"/>
      <c r="G65" s="15">
        <v>184</v>
      </c>
      <c r="H65" s="16"/>
      <c r="I65" s="67">
        <v>246102</v>
      </c>
      <c r="J65" s="67">
        <v>110438</v>
      </c>
      <c r="L65" s="2" t="s">
        <v>1209</v>
      </c>
    </row>
    <row r="66" spans="1:12" s="2" customFormat="1" ht="14.45" customHeight="1" x14ac:dyDescent="0.2">
      <c r="A66" s="387" t="s">
        <v>2504</v>
      </c>
      <c r="B66" s="387"/>
      <c r="C66" s="387"/>
      <c r="D66" s="387"/>
      <c r="E66" s="387"/>
      <c r="F66" s="387"/>
      <c r="G66" s="15">
        <v>185</v>
      </c>
      <c r="H66" s="16"/>
      <c r="I66" s="66">
        <f>I62-I65</f>
        <v>1121535</v>
      </c>
      <c r="J66" s="66">
        <f>J62-J65</f>
        <v>458066</v>
      </c>
      <c r="L66" s="2" t="s">
        <v>1209</v>
      </c>
    </row>
    <row r="67" spans="1:12" s="2" customFormat="1" ht="14.45" customHeight="1" x14ac:dyDescent="0.2">
      <c r="A67" s="413" t="s">
        <v>2505</v>
      </c>
      <c r="B67" s="413"/>
      <c r="C67" s="413"/>
      <c r="D67" s="413"/>
      <c r="E67" s="413"/>
      <c r="F67" s="413"/>
      <c r="G67" s="15">
        <v>186</v>
      </c>
      <c r="H67" s="16"/>
      <c r="I67" s="66">
        <f>IF(I66&gt;0,I66,0)</f>
        <v>1121535</v>
      </c>
      <c r="J67" s="66">
        <f>IF(J66&gt;0,J66,0)</f>
        <v>458066</v>
      </c>
    </row>
    <row r="68" spans="1:12" s="2" customFormat="1" ht="14.45" customHeight="1" x14ac:dyDescent="0.2">
      <c r="A68" s="425" t="s">
        <v>2506</v>
      </c>
      <c r="B68" s="425"/>
      <c r="C68" s="425"/>
      <c r="D68" s="425"/>
      <c r="E68" s="425"/>
      <c r="F68" s="425"/>
      <c r="G68" s="17">
        <v>187</v>
      </c>
      <c r="H68" s="18"/>
      <c r="I68" s="81">
        <f>IF(I66&lt;0,-I66,0)</f>
        <v>0</v>
      </c>
      <c r="J68" s="81">
        <f>IF(J66&lt;0,-J66,0)</f>
        <v>0</v>
      </c>
    </row>
    <row r="69" spans="1:12" s="2" customFormat="1" ht="14.45" customHeight="1" x14ac:dyDescent="0.2">
      <c r="A69" s="404" t="s">
        <v>2958</v>
      </c>
      <c r="B69" s="404"/>
      <c r="C69" s="404"/>
      <c r="D69" s="404"/>
      <c r="E69" s="404"/>
      <c r="F69" s="404"/>
      <c r="G69" s="411"/>
      <c r="H69" s="411"/>
      <c r="I69" s="411"/>
      <c r="J69" s="411"/>
    </row>
    <row r="70" spans="1:12" s="2" customFormat="1" ht="25.5" customHeight="1" x14ac:dyDescent="0.2">
      <c r="A70" s="387" t="s">
        <v>2507</v>
      </c>
      <c r="B70" s="387"/>
      <c r="C70" s="387"/>
      <c r="D70" s="387"/>
      <c r="E70" s="387"/>
      <c r="F70" s="387"/>
      <c r="G70" s="15">
        <v>188</v>
      </c>
      <c r="H70" s="16"/>
      <c r="I70" s="66">
        <f>I71-I72</f>
        <v>0</v>
      </c>
      <c r="J70" s="66">
        <f>J71-J72</f>
        <v>0</v>
      </c>
      <c r="L70" s="2" t="s">
        <v>1209</v>
      </c>
    </row>
    <row r="71" spans="1:12" s="2" customFormat="1" ht="14.45" customHeight="1" x14ac:dyDescent="0.2">
      <c r="A71" s="413" t="s">
        <v>2425</v>
      </c>
      <c r="B71" s="413"/>
      <c r="C71" s="413"/>
      <c r="D71" s="413"/>
      <c r="E71" s="413"/>
      <c r="F71" s="413"/>
      <c r="G71" s="15">
        <v>189</v>
      </c>
      <c r="H71" s="16"/>
      <c r="I71" s="67"/>
      <c r="J71" s="67"/>
    </row>
    <row r="72" spans="1:12" s="2" customFormat="1" ht="14.45" customHeight="1" x14ac:dyDescent="0.2">
      <c r="A72" s="413" t="s">
        <v>2426</v>
      </c>
      <c r="B72" s="413"/>
      <c r="C72" s="413"/>
      <c r="D72" s="413"/>
      <c r="E72" s="413"/>
      <c r="F72" s="413"/>
      <c r="G72" s="15">
        <v>190</v>
      </c>
      <c r="H72" s="16"/>
      <c r="I72" s="67"/>
      <c r="J72" s="67"/>
    </row>
    <row r="73" spans="1:12" s="2" customFormat="1" ht="14.45" customHeight="1" x14ac:dyDescent="0.2">
      <c r="A73" s="387" t="s">
        <v>1097</v>
      </c>
      <c r="B73" s="387"/>
      <c r="C73" s="387"/>
      <c r="D73" s="387"/>
      <c r="E73" s="387"/>
      <c r="F73" s="387"/>
      <c r="G73" s="15">
        <v>191</v>
      </c>
      <c r="H73" s="16"/>
      <c r="I73" s="67"/>
      <c r="J73" s="67"/>
      <c r="L73" s="2" t="s">
        <v>1209</v>
      </c>
    </row>
    <row r="74" spans="1:12" s="2" customFormat="1" ht="14.45" customHeight="1" x14ac:dyDescent="0.2">
      <c r="A74" s="413" t="s">
        <v>2508</v>
      </c>
      <c r="B74" s="413"/>
      <c r="C74" s="413"/>
      <c r="D74" s="413"/>
      <c r="E74" s="413"/>
      <c r="F74" s="413"/>
      <c r="G74" s="15">
        <v>192</v>
      </c>
      <c r="H74" s="16"/>
      <c r="I74" s="66">
        <f>IF(I70-I73&gt;0,I70-I73,0)</f>
        <v>0</v>
      </c>
      <c r="J74" s="66">
        <f>IF(J70-J73&gt;0,J70-J73,0)</f>
        <v>0</v>
      </c>
    </row>
    <row r="75" spans="1:12" s="2" customFormat="1" ht="14.45" customHeight="1" x14ac:dyDescent="0.2">
      <c r="A75" s="425" t="s">
        <v>2509</v>
      </c>
      <c r="B75" s="425"/>
      <c r="C75" s="425"/>
      <c r="D75" s="425"/>
      <c r="E75" s="425"/>
      <c r="F75" s="425"/>
      <c r="G75" s="17">
        <v>193</v>
      </c>
      <c r="H75" s="18"/>
      <c r="I75" s="81">
        <f>IF(I73-I70&gt;0,I73-I70,0)</f>
        <v>0</v>
      </c>
      <c r="J75" s="81">
        <f>IF(J73-J70&gt;0,J73-J70,0)</f>
        <v>0</v>
      </c>
    </row>
    <row r="76" spans="1:12" s="2" customFormat="1" ht="14.45" customHeight="1" x14ac:dyDescent="0.2">
      <c r="A76" s="404" t="s">
        <v>1098</v>
      </c>
      <c r="B76" s="404"/>
      <c r="C76" s="404"/>
      <c r="D76" s="404"/>
      <c r="E76" s="404"/>
      <c r="F76" s="404"/>
      <c r="G76" s="411"/>
      <c r="H76" s="411"/>
      <c r="I76" s="411"/>
      <c r="J76" s="411"/>
    </row>
    <row r="77" spans="1:12" s="2" customFormat="1" ht="14.45" customHeight="1" x14ac:dyDescent="0.2">
      <c r="A77" s="387" t="s">
        <v>2510</v>
      </c>
      <c r="B77" s="387"/>
      <c r="C77" s="387"/>
      <c r="D77" s="387"/>
      <c r="E77" s="387"/>
      <c r="F77" s="387"/>
      <c r="G77" s="15">
        <v>194</v>
      </c>
      <c r="H77" s="16"/>
      <c r="I77" s="66">
        <f>(I62+I70)*$Q$8</f>
        <v>0</v>
      </c>
      <c r="J77" s="66">
        <f>(J62+J70)*$Q$8</f>
        <v>0</v>
      </c>
      <c r="L77" s="2" t="s">
        <v>1209</v>
      </c>
    </row>
    <row r="78" spans="1:12" s="2" customFormat="1" ht="14.45" customHeight="1" x14ac:dyDescent="0.2">
      <c r="A78" s="413" t="s">
        <v>2511</v>
      </c>
      <c r="B78" s="413"/>
      <c r="C78" s="413"/>
      <c r="D78" s="413"/>
      <c r="E78" s="413"/>
      <c r="F78" s="413"/>
      <c r="G78" s="15">
        <v>195</v>
      </c>
      <c r="H78" s="16"/>
      <c r="I78" s="66">
        <f>IF(I77&gt;0,I77,0)</f>
        <v>0</v>
      </c>
      <c r="J78" s="66">
        <f>IF(J77&gt;0,J77,0)</f>
        <v>0</v>
      </c>
    </row>
    <row r="79" spans="1:12" s="2" customFormat="1" ht="14.45" customHeight="1" x14ac:dyDescent="0.2">
      <c r="A79" s="413" t="s">
        <v>2512</v>
      </c>
      <c r="B79" s="413"/>
      <c r="C79" s="413"/>
      <c r="D79" s="413"/>
      <c r="E79" s="413"/>
      <c r="F79" s="413"/>
      <c r="G79" s="15">
        <v>196</v>
      </c>
      <c r="H79" s="16"/>
      <c r="I79" s="66">
        <f>IF(I77&lt;0,-I77,0)</f>
        <v>0</v>
      </c>
      <c r="J79" s="66">
        <f>IF(J77&lt;0,-J77,0)</f>
        <v>0</v>
      </c>
    </row>
    <row r="80" spans="1:12" s="2" customFormat="1" ht="14.45" customHeight="1" x14ac:dyDescent="0.2">
      <c r="A80" s="387" t="s">
        <v>2513</v>
      </c>
      <c r="B80" s="387"/>
      <c r="C80" s="387"/>
      <c r="D80" s="387"/>
      <c r="E80" s="387"/>
      <c r="F80" s="387"/>
      <c r="G80" s="15">
        <v>197</v>
      </c>
      <c r="H80" s="16"/>
      <c r="I80" s="66">
        <f>(I73+I65)*$Q$8</f>
        <v>0</v>
      </c>
      <c r="J80" s="66">
        <f>(J73+J65)*$Q$8</f>
        <v>0</v>
      </c>
      <c r="L80" s="2" t="s">
        <v>1209</v>
      </c>
    </row>
    <row r="81" spans="1:12" s="2" customFormat="1" ht="14.45" customHeight="1" x14ac:dyDescent="0.2">
      <c r="A81" s="387" t="s">
        <v>2514</v>
      </c>
      <c r="B81" s="387"/>
      <c r="C81" s="387"/>
      <c r="D81" s="387"/>
      <c r="E81" s="387"/>
      <c r="F81" s="387"/>
      <c r="G81" s="15">
        <v>198</v>
      </c>
      <c r="H81" s="16"/>
      <c r="I81" s="66">
        <f>I82-I83</f>
        <v>0</v>
      </c>
      <c r="J81" s="66">
        <f>J82-J83</f>
        <v>0</v>
      </c>
      <c r="L81" s="2" t="s">
        <v>1209</v>
      </c>
    </row>
    <row r="82" spans="1:12" s="2" customFormat="1" ht="14.45" customHeight="1" x14ac:dyDescent="0.2">
      <c r="A82" s="413" t="s">
        <v>2515</v>
      </c>
      <c r="B82" s="413"/>
      <c r="C82" s="413"/>
      <c r="D82" s="413"/>
      <c r="E82" s="413"/>
      <c r="F82" s="413"/>
      <c r="G82" s="15">
        <v>199</v>
      </c>
      <c r="H82" s="16"/>
      <c r="I82" s="66">
        <f>IF(I77-I80&gt;0,I77-I80,0)</f>
        <v>0</v>
      </c>
      <c r="J82" s="66">
        <f>IF(J77-J80&gt;0,J77-J80,0)</f>
        <v>0</v>
      </c>
    </row>
    <row r="83" spans="1:12" s="2" customFormat="1" ht="14.45" customHeight="1" x14ac:dyDescent="0.2">
      <c r="A83" s="425" t="s">
        <v>2516</v>
      </c>
      <c r="B83" s="425"/>
      <c r="C83" s="425"/>
      <c r="D83" s="425"/>
      <c r="E83" s="425"/>
      <c r="F83" s="425"/>
      <c r="G83" s="17">
        <v>200</v>
      </c>
      <c r="H83" s="18"/>
      <c r="I83" s="81">
        <f>IF(I77-I80&lt;0,I80-I77,0)</f>
        <v>0</v>
      </c>
      <c r="J83" s="81">
        <f>IF(J77-J80&lt;0,J80-J77,0)</f>
        <v>0</v>
      </c>
    </row>
    <row r="84" spans="1:12" s="2" customFormat="1" ht="14.45" customHeight="1" x14ac:dyDescent="0.2">
      <c r="A84" s="404" t="s">
        <v>2609</v>
      </c>
      <c r="B84" s="404"/>
      <c r="C84" s="404"/>
      <c r="D84" s="404"/>
      <c r="E84" s="404"/>
      <c r="F84" s="404"/>
      <c r="G84" s="411"/>
      <c r="H84" s="411"/>
      <c r="I84" s="411"/>
      <c r="J84" s="411"/>
    </row>
    <row r="85" spans="1:12" s="2" customFormat="1" ht="14.45" customHeight="1" x14ac:dyDescent="0.2">
      <c r="A85" s="410" t="s">
        <v>2517</v>
      </c>
      <c r="B85" s="410"/>
      <c r="C85" s="410"/>
      <c r="D85" s="410"/>
      <c r="E85" s="410"/>
      <c r="F85" s="410"/>
      <c r="G85" s="15">
        <v>201</v>
      </c>
      <c r="H85" s="16"/>
      <c r="I85" s="82">
        <f>SUM(I86:I87)</f>
        <v>0</v>
      </c>
      <c r="J85" s="82">
        <f>SUM(J86:J87)</f>
        <v>0</v>
      </c>
      <c r="L85" s="2" t="s">
        <v>1209</v>
      </c>
    </row>
    <row r="86" spans="1:12" s="2" customFormat="1" ht="14.45" customHeight="1" x14ac:dyDescent="0.2">
      <c r="A86" s="412" t="s">
        <v>2427</v>
      </c>
      <c r="B86" s="412"/>
      <c r="C86" s="412"/>
      <c r="D86" s="412"/>
      <c r="E86" s="412"/>
      <c r="F86" s="412"/>
      <c r="G86" s="15">
        <v>202</v>
      </c>
      <c r="H86" s="16"/>
      <c r="I86" s="73"/>
      <c r="J86" s="73"/>
      <c r="L86" s="2" t="s">
        <v>1209</v>
      </c>
    </row>
    <row r="87" spans="1:12" s="2" customFormat="1" ht="14.45" customHeight="1" x14ac:dyDescent="0.2">
      <c r="A87" s="407" t="s">
        <v>2710</v>
      </c>
      <c r="B87" s="407"/>
      <c r="C87" s="407"/>
      <c r="D87" s="407"/>
      <c r="E87" s="407"/>
      <c r="F87" s="407"/>
      <c r="G87" s="17">
        <v>203</v>
      </c>
      <c r="H87" s="18"/>
      <c r="I87" s="74"/>
      <c r="J87" s="74"/>
      <c r="L87" s="2" t="s">
        <v>1209</v>
      </c>
    </row>
    <row r="88" spans="1:12" s="2" customFormat="1" ht="14.45" customHeight="1" x14ac:dyDescent="0.2">
      <c r="A88" s="422" t="s">
        <v>1506</v>
      </c>
      <c r="B88" s="422"/>
      <c r="C88" s="422"/>
      <c r="D88" s="422"/>
      <c r="E88" s="422"/>
      <c r="F88" s="422"/>
      <c r="G88" s="423"/>
      <c r="H88" s="423"/>
      <c r="I88" s="423"/>
      <c r="J88" s="423"/>
    </row>
    <row r="89" spans="1:12" s="2" customFormat="1" ht="14.45" customHeight="1" x14ac:dyDescent="0.2">
      <c r="A89" s="408" t="s">
        <v>2518</v>
      </c>
      <c r="B89" s="408"/>
      <c r="C89" s="408"/>
      <c r="D89" s="408"/>
      <c r="E89" s="408"/>
      <c r="F89" s="408"/>
      <c r="G89" s="15">
        <v>204</v>
      </c>
      <c r="H89" s="16"/>
      <c r="I89" s="73"/>
      <c r="J89" s="73"/>
      <c r="L89" s="2" t="s">
        <v>1209</v>
      </c>
    </row>
    <row r="90" spans="1:12" s="2" customFormat="1" ht="25.5" customHeight="1" x14ac:dyDescent="0.2">
      <c r="A90" s="408" t="s">
        <v>359</v>
      </c>
      <c r="B90" s="408"/>
      <c r="C90" s="408"/>
      <c r="D90" s="408"/>
      <c r="E90" s="408"/>
      <c r="F90" s="408"/>
      <c r="G90" s="15">
        <v>205</v>
      </c>
      <c r="H90" s="16"/>
      <c r="I90" s="82">
        <f>SUM(I92:I96)+SUM(I99:I106)</f>
        <v>0</v>
      </c>
      <c r="J90" s="82">
        <f>SUM(J92:J96)+SUM(J99:J106)</f>
        <v>0</v>
      </c>
      <c r="L90" s="2" t="s">
        <v>1209</v>
      </c>
    </row>
    <row r="91" spans="1:12" s="2" customFormat="1" ht="14.45" customHeight="1" x14ac:dyDescent="0.2">
      <c r="A91" s="408" t="s">
        <v>1609</v>
      </c>
      <c r="B91" s="408"/>
      <c r="C91" s="408"/>
      <c r="D91" s="408"/>
      <c r="E91" s="408"/>
      <c r="F91" s="408"/>
      <c r="G91" s="15">
        <v>206</v>
      </c>
      <c r="H91" s="16"/>
      <c r="I91" s="82">
        <f>SUM(I92:I97)</f>
        <v>0</v>
      </c>
      <c r="J91" s="82">
        <f>SUM(J92:J97)</f>
        <v>0</v>
      </c>
      <c r="L91" s="2" t="s">
        <v>1209</v>
      </c>
    </row>
    <row r="92" spans="1:12" s="2" customFormat="1" ht="24.95" customHeight="1" x14ac:dyDescent="0.2">
      <c r="A92" s="385" t="s">
        <v>2519</v>
      </c>
      <c r="B92" s="385"/>
      <c r="C92" s="385"/>
      <c r="D92" s="385"/>
      <c r="E92" s="385"/>
      <c r="F92" s="385"/>
      <c r="G92" s="15">
        <v>207</v>
      </c>
      <c r="H92" s="16"/>
      <c r="I92" s="73"/>
      <c r="J92" s="73"/>
      <c r="L92" s="2" t="s">
        <v>1209</v>
      </c>
    </row>
    <row r="93" spans="1:12" s="2" customFormat="1" ht="24.95" customHeight="1" x14ac:dyDescent="0.2">
      <c r="A93" s="385" t="s">
        <v>2520</v>
      </c>
      <c r="B93" s="385"/>
      <c r="C93" s="385"/>
      <c r="D93" s="385"/>
      <c r="E93" s="385"/>
      <c r="F93" s="385"/>
      <c r="G93" s="15">
        <v>208</v>
      </c>
      <c r="H93" s="16"/>
      <c r="I93" s="73"/>
      <c r="J93" s="73"/>
      <c r="L93" s="2" t="s">
        <v>1209</v>
      </c>
    </row>
    <row r="94" spans="1:12" s="2" customFormat="1" ht="24.95" customHeight="1" x14ac:dyDescent="0.2">
      <c r="A94" s="385" t="s">
        <v>1604</v>
      </c>
      <c r="B94" s="385"/>
      <c r="C94" s="385"/>
      <c r="D94" s="385"/>
      <c r="E94" s="385"/>
      <c r="F94" s="385"/>
      <c r="G94" s="15">
        <v>209</v>
      </c>
      <c r="H94" s="16"/>
      <c r="I94" s="73"/>
      <c r="J94" s="73"/>
      <c r="L94" s="2" t="s">
        <v>1209</v>
      </c>
    </row>
    <row r="95" spans="1:12" s="2" customFormat="1" ht="14.45" customHeight="1" x14ac:dyDescent="0.2">
      <c r="A95" s="385" t="s">
        <v>1605</v>
      </c>
      <c r="B95" s="385"/>
      <c r="C95" s="385"/>
      <c r="D95" s="385"/>
      <c r="E95" s="385"/>
      <c r="F95" s="385"/>
      <c r="G95" s="15">
        <v>210</v>
      </c>
      <c r="H95" s="16"/>
      <c r="I95" s="73"/>
      <c r="J95" s="73"/>
      <c r="L95" s="2" t="s">
        <v>1209</v>
      </c>
    </row>
    <row r="96" spans="1:12" s="2" customFormat="1" ht="14.45" customHeight="1" x14ac:dyDescent="0.2">
      <c r="A96" s="385" t="s">
        <v>1606</v>
      </c>
      <c r="B96" s="385"/>
      <c r="C96" s="385"/>
      <c r="D96" s="385"/>
      <c r="E96" s="385"/>
      <c r="F96" s="385"/>
      <c r="G96" s="15">
        <v>211</v>
      </c>
      <c r="H96" s="16"/>
      <c r="I96" s="73"/>
      <c r="J96" s="73"/>
      <c r="L96" s="2" t="s">
        <v>1209</v>
      </c>
    </row>
    <row r="97" spans="1:12" s="2" customFormat="1" ht="14.45" customHeight="1" x14ac:dyDescent="0.2">
      <c r="A97" s="385" t="s">
        <v>1607</v>
      </c>
      <c r="B97" s="385"/>
      <c r="C97" s="385"/>
      <c r="D97" s="385"/>
      <c r="E97" s="385"/>
      <c r="F97" s="385"/>
      <c r="G97" s="15">
        <v>212</v>
      </c>
      <c r="H97" s="16"/>
      <c r="I97" s="73"/>
      <c r="J97" s="73"/>
      <c r="L97" s="2" t="s">
        <v>1209</v>
      </c>
    </row>
    <row r="98" spans="1:12" s="2" customFormat="1" ht="14.45" customHeight="1" x14ac:dyDescent="0.2">
      <c r="A98" s="408" t="s">
        <v>1608</v>
      </c>
      <c r="B98" s="408"/>
      <c r="C98" s="408"/>
      <c r="D98" s="408"/>
      <c r="E98" s="408"/>
      <c r="F98" s="408"/>
      <c r="G98" s="15">
        <v>213</v>
      </c>
      <c r="H98" s="16"/>
      <c r="I98" s="82">
        <f>SUM(I99:I107)</f>
        <v>0</v>
      </c>
      <c r="J98" s="82">
        <f>SUM(J99:J107)</f>
        <v>0</v>
      </c>
      <c r="L98" s="2" t="s">
        <v>1209</v>
      </c>
    </row>
    <row r="99" spans="1:12" s="2" customFormat="1" ht="14.45" customHeight="1" x14ac:dyDescent="0.2">
      <c r="A99" s="385" t="s">
        <v>1610</v>
      </c>
      <c r="B99" s="385"/>
      <c r="C99" s="385"/>
      <c r="D99" s="385"/>
      <c r="E99" s="385"/>
      <c r="F99" s="385"/>
      <c r="G99" s="15">
        <v>214</v>
      </c>
      <c r="H99" s="16"/>
      <c r="I99" s="73"/>
      <c r="J99" s="73"/>
      <c r="L99" s="2" t="s">
        <v>1209</v>
      </c>
    </row>
    <row r="100" spans="1:12" s="2" customFormat="1" ht="24.95" customHeight="1" x14ac:dyDescent="0.2">
      <c r="A100" s="385" t="s">
        <v>348</v>
      </c>
      <c r="B100" s="385"/>
      <c r="C100" s="385"/>
      <c r="D100" s="385"/>
      <c r="E100" s="385"/>
      <c r="F100" s="385"/>
      <c r="G100" s="15">
        <v>215</v>
      </c>
      <c r="H100" s="16"/>
      <c r="I100" s="73"/>
      <c r="J100" s="73"/>
      <c r="L100" s="2" t="s">
        <v>1209</v>
      </c>
    </row>
    <row r="101" spans="1:12" s="2" customFormat="1" ht="14.45" customHeight="1" x14ac:dyDescent="0.2">
      <c r="A101" s="385" t="s">
        <v>349</v>
      </c>
      <c r="B101" s="385"/>
      <c r="C101" s="385"/>
      <c r="D101" s="385"/>
      <c r="E101" s="385"/>
      <c r="F101" s="385"/>
      <c r="G101" s="15">
        <v>216</v>
      </c>
      <c r="H101" s="16"/>
      <c r="I101" s="73"/>
      <c r="J101" s="73"/>
      <c r="L101" s="2" t="s">
        <v>1209</v>
      </c>
    </row>
    <row r="102" spans="1:12" s="2" customFormat="1" ht="14.45" customHeight="1" x14ac:dyDescent="0.2">
      <c r="A102" s="385" t="s">
        <v>350</v>
      </c>
      <c r="B102" s="385"/>
      <c r="C102" s="385"/>
      <c r="D102" s="385"/>
      <c r="E102" s="385"/>
      <c r="F102" s="385"/>
      <c r="G102" s="15">
        <v>217</v>
      </c>
      <c r="H102" s="16"/>
      <c r="I102" s="73"/>
      <c r="J102" s="73"/>
      <c r="L102" s="2" t="s">
        <v>1209</v>
      </c>
    </row>
    <row r="103" spans="1:12" s="2" customFormat="1" ht="24.95" customHeight="1" x14ac:dyDescent="0.2">
      <c r="A103" s="385" t="s">
        <v>351</v>
      </c>
      <c r="B103" s="385"/>
      <c r="C103" s="385"/>
      <c r="D103" s="385"/>
      <c r="E103" s="385"/>
      <c r="F103" s="385"/>
      <c r="G103" s="15">
        <v>218</v>
      </c>
      <c r="H103" s="16"/>
      <c r="I103" s="73"/>
      <c r="J103" s="73"/>
      <c r="L103" s="2" t="s">
        <v>1209</v>
      </c>
    </row>
    <row r="104" spans="1:12" s="2" customFormat="1" ht="14.45" customHeight="1" x14ac:dyDescent="0.2">
      <c r="A104" s="385" t="s">
        <v>352</v>
      </c>
      <c r="B104" s="385"/>
      <c r="C104" s="385"/>
      <c r="D104" s="385"/>
      <c r="E104" s="385"/>
      <c r="F104" s="385"/>
      <c r="G104" s="15">
        <v>219</v>
      </c>
      <c r="H104" s="16"/>
      <c r="I104" s="73"/>
      <c r="J104" s="73"/>
      <c r="L104" s="2" t="s">
        <v>1209</v>
      </c>
    </row>
    <row r="105" spans="1:12" s="2" customFormat="1" ht="14.45" customHeight="1" x14ac:dyDescent="0.2">
      <c r="A105" s="385" t="s">
        <v>353</v>
      </c>
      <c r="B105" s="385"/>
      <c r="C105" s="385"/>
      <c r="D105" s="385"/>
      <c r="E105" s="385"/>
      <c r="F105" s="385"/>
      <c r="G105" s="15">
        <v>220</v>
      </c>
      <c r="H105" s="16"/>
      <c r="I105" s="73"/>
      <c r="J105" s="73"/>
      <c r="L105" s="2" t="s">
        <v>1209</v>
      </c>
    </row>
    <row r="106" spans="1:12" s="2" customFormat="1" ht="14.45" customHeight="1" x14ac:dyDescent="0.2">
      <c r="A106" s="385" t="s">
        <v>354</v>
      </c>
      <c r="B106" s="385"/>
      <c r="C106" s="385"/>
      <c r="D106" s="385"/>
      <c r="E106" s="385"/>
      <c r="F106" s="385"/>
      <c r="G106" s="15">
        <v>221</v>
      </c>
      <c r="H106" s="16"/>
      <c r="I106" s="73"/>
      <c r="J106" s="73"/>
      <c r="L106" s="2" t="s">
        <v>1209</v>
      </c>
    </row>
    <row r="107" spans="1:12" s="2" customFormat="1" ht="24.95" customHeight="1" x14ac:dyDescent="0.2">
      <c r="A107" s="385" t="s">
        <v>355</v>
      </c>
      <c r="B107" s="385"/>
      <c r="C107" s="385"/>
      <c r="D107" s="385"/>
      <c r="E107" s="385"/>
      <c r="F107" s="385"/>
      <c r="G107" s="15">
        <v>222</v>
      </c>
      <c r="H107" s="16"/>
      <c r="I107" s="73"/>
      <c r="J107" s="73"/>
      <c r="L107" s="2" t="s">
        <v>1209</v>
      </c>
    </row>
    <row r="108" spans="1:12" s="2" customFormat="1" ht="14.45" customHeight="1" x14ac:dyDescent="0.2">
      <c r="A108" s="408" t="s">
        <v>356</v>
      </c>
      <c r="B108" s="408"/>
      <c r="C108" s="408"/>
      <c r="D108" s="408"/>
      <c r="E108" s="408"/>
      <c r="F108" s="408"/>
      <c r="G108" s="15">
        <v>223</v>
      </c>
      <c r="H108" s="16"/>
      <c r="I108" s="82">
        <f>I91+I98</f>
        <v>0</v>
      </c>
      <c r="J108" s="82">
        <f>J91+J98</f>
        <v>0</v>
      </c>
      <c r="L108" s="2" t="s">
        <v>1209</v>
      </c>
    </row>
    <row r="109" spans="1:12" s="2" customFormat="1" ht="14.45" customHeight="1" x14ac:dyDescent="0.2">
      <c r="A109" s="409" t="s">
        <v>358</v>
      </c>
      <c r="B109" s="409"/>
      <c r="C109" s="409"/>
      <c r="D109" s="409"/>
      <c r="E109" s="409"/>
      <c r="F109" s="409"/>
      <c r="G109" s="17">
        <v>224</v>
      </c>
      <c r="H109" s="18"/>
      <c r="I109" s="83">
        <f>I89+I108</f>
        <v>0</v>
      </c>
      <c r="J109" s="83">
        <f>J89+J108</f>
        <v>0</v>
      </c>
      <c r="L109" s="2" t="s">
        <v>1209</v>
      </c>
    </row>
    <row r="110" spans="1:12" s="2" customFormat="1" ht="14.45" customHeight="1" x14ac:dyDescent="0.2">
      <c r="A110" s="404" t="s">
        <v>2364</v>
      </c>
      <c r="B110" s="404"/>
      <c r="C110" s="404"/>
      <c r="D110" s="404"/>
      <c r="E110" s="404"/>
      <c r="F110" s="404"/>
      <c r="G110" s="411"/>
      <c r="H110" s="411"/>
      <c r="I110" s="411"/>
      <c r="J110" s="411"/>
    </row>
    <row r="111" spans="1:12" s="2" customFormat="1" ht="14.45" customHeight="1" x14ac:dyDescent="0.2">
      <c r="A111" s="410" t="s">
        <v>357</v>
      </c>
      <c r="B111" s="410"/>
      <c r="C111" s="410"/>
      <c r="D111" s="410"/>
      <c r="E111" s="410"/>
      <c r="F111" s="410"/>
      <c r="G111" s="15">
        <v>225</v>
      </c>
      <c r="H111" s="16"/>
      <c r="I111" s="82">
        <f>SUM(I112:I113)</f>
        <v>0</v>
      </c>
      <c r="J111" s="82">
        <f>SUM(J112:J113)</f>
        <v>0</v>
      </c>
      <c r="L111" s="2" t="s">
        <v>1209</v>
      </c>
    </row>
    <row r="112" spans="1:12" s="2" customFormat="1" ht="14.45" customHeight="1" x14ac:dyDescent="0.2">
      <c r="A112" s="412" t="s">
        <v>1239</v>
      </c>
      <c r="B112" s="412"/>
      <c r="C112" s="412"/>
      <c r="D112" s="412"/>
      <c r="E112" s="412"/>
      <c r="F112" s="412"/>
      <c r="G112" s="15">
        <v>226</v>
      </c>
      <c r="H112" s="16"/>
      <c r="I112" s="73"/>
      <c r="J112" s="73"/>
      <c r="L112" s="2" t="s">
        <v>1209</v>
      </c>
    </row>
    <row r="113" spans="1:12" s="2" customFormat="1" ht="14.45" customHeight="1" x14ac:dyDescent="0.2">
      <c r="A113" s="407" t="s">
        <v>1099</v>
      </c>
      <c r="B113" s="407"/>
      <c r="C113" s="407"/>
      <c r="D113" s="407"/>
      <c r="E113" s="407"/>
      <c r="F113" s="407"/>
      <c r="G113" s="17">
        <v>227</v>
      </c>
      <c r="H113" s="18"/>
      <c r="I113" s="74"/>
      <c r="J113" s="74"/>
      <c r="L113" s="2" t="s">
        <v>1209</v>
      </c>
    </row>
    <row r="114" spans="1:12" ht="5.0999999999999996" customHeight="1" x14ac:dyDescent="0.2"/>
  </sheetData>
  <sheetProtection password="C79A" sheet="1" objects="1" scenarios="1"/>
  <mergeCells count="112">
    <mergeCell ref="A93:F93"/>
    <mergeCell ref="A86:F86"/>
    <mergeCell ref="A77:F77"/>
    <mergeCell ref="A78:F78"/>
    <mergeCell ref="A79:F79"/>
    <mergeCell ref="A85:F85"/>
    <mergeCell ref="A84:J84"/>
    <mergeCell ref="A92:F92"/>
    <mergeCell ref="A90:F90"/>
    <mergeCell ref="A91:F91"/>
    <mergeCell ref="A98:F98"/>
    <mergeCell ref="A99:F99"/>
    <mergeCell ref="A100:F100"/>
    <mergeCell ref="A101:F101"/>
    <mergeCell ref="A106:F106"/>
    <mergeCell ref="A80:F80"/>
    <mergeCell ref="A82:F82"/>
    <mergeCell ref="A83:F83"/>
    <mergeCell ref="A81:F81"/>
    <mergeCell ref="A89:F89"/>
    <mergeCell ref="A94:F94"/>
    <mergeCell ref="A95:F95"/>
    <mergeCell ref="A96:F96"/>
    <mergeCell ref="A97:F97"/>
    <mergeCell ref="A73:F73"/>
    <mergeCell ref="A69:J69"/>
    <mergeCell ref="A76:J76"/>
    <mergeCell ref="A74:F74"/>
    <mergeCell ref="A75:F75"/>
    <mergeCell ref="A70:F70"/>
    <mergeCell ref="A14:F14"/>
    <mergeCell ref="A72:F72"/>
    <mergeCell ref="A68:F68"/>
    <mergeCell ref="A67:F67"/>
    <mergeCell ref="A65:F65"/>
    <mergeCell ref="A66:F66"/>
    <mergeCell ref="A64:F64"/>
    <mergeCell ref="A20:F20"/>
    <mergeCell ref="A39:F39"/>
    <mergeCell ref="A40:F40"/>
    <mergeCell ref="A13:F13"/>
    <mergeCell ref="A21:F21"/>
    <mergeCell ref="A9:F9"/>
    <mergeCell ref="A8:F8"/>
    <mergeCell ref="A22:F22"/>
    <mergeCell ref="A7:F7"/>
    <mergeCell ref="A11:F11"/>
    <mergeCell ref="A17:F17"/>
    <mergeCell ref="A12:F12"/>
    <mergeCell ref="A10:F10"/>
    <mergeCell ref="A88:J88"/>
    <mergeCell ref="A18:F18"/>
    <mergeCell ref="A19:F19"/>
    <mergeCell ref="A26:F26"/>
    <mergeCell ref="A27:F27"/>
    <mergeCell ref="A29:F29"/>
    <mergeCell ref="A36:F36"/>
    <mergeCell ref="A34:F34"/>
    <mergeCell ref="A71:F71"/>
    <mergeCell ref="A55:F55"/>
    <mergeCell ref="A5:J5"/>
    <mergeCell ref="A6:F6"/>
    <mergeCell ref="A2:I2"/>
    <mergeCell ref="A3:I3"/>
    <mergeCell ref="J2:J3"/>
    <mergeCell ref="A31:F31"/>
    <mergeCell ref="A16:F16"/>
    <mergeCell ref="A23:F23"/>
    <mergeCell ref="A24:F24"/>
    <mergeCell ref="A15:F15"/>
    <mergeCell ref="A25:F25"/>
    <mergeCell ref="A41:F41"/>
    <mergeCell ref="A28:F28"/>
    <mergeCell ref="A30:F30"/>
    <mergeCell ref="A33:F33"/>
    <mergeCell ref="A42:F42"/>
    <mergeCell ref="A48:F48"/>
    <mergeCell ref="A46:F46"/>
    <mergeCell ref="A47:F47"/>
    <mergeCell ref="A49:F49"/>
    <mergeCell ref="A38:F38"/>
    <mergeCell ref="A35:F35"/>
    <mergeCell ref="A45:F45"/>
    <mergeCell ref="A43:F43"/>
    <mergeCell ref="A44:F44"/>
    <mergeCell ref="A37:F37"/>
    <mergeCell ref="A32:F32"/>
    <mergeCell ref="A102:F102"/>
    <mergeCell ref="A87:F87"/>
    <mergeCell ref="A50:F50"/>
    <mergeCell ref="A51:F51"/>
    <mergeCell ref="A57:F57"/>
    <mergeCell ref="A56:F56"/>
    <mergeCell ref="A61:F61"/>
    <mergeCell ref="A103:F103"/>
    <mergeCell ref="A63:F63"/>
    <mergeCell ref="A52:F52"/>
    <mergeCell ref="A53:F53"/>
    <mergeCell ref="A54:F54"/>
    <mergeCell ref="A104:F104"/>
    <mergeCell ref="A58:F58"/>
    <mergeCell ref="A59:F59"/>
    <mergeCell ref="A60:F60"/>
    <mergeCell ref="A62:F62"/>
    <mergeCell ref="A105:F105"/>
    <mergeCell ref="A113:F113"/>
    <mergeCell ref="A107:F107"/>
    <mergeCell ref="A108:F108"/>
    <mergeCell ref="A109:F109"/>
    <mergeCell ref="A111:F111"/>
    <mergeCell ref="A110:J110"/>
    <mergeCell ref="A112:F112"/>
  </mergeCells>
  <phoneticPr fontId="3" type="noConversion"/>
  <conditionalFormatting sqref="I111:J113 I15:J15 I26:J35 I54:J54 I62:J62 I65:J66 I70:J70 I73:J73 I77:J77 I80:J81 I85:J87 I89:J109">
    <cfRule type="cellIs" dxfId="18" priority="1" stopIfTrue="1" operator="notEqual">
      <formula>ROUND(I15,0)</formula>
    </cfRule>
  </conditionalFormatting>
  <conditionalFormatting sqref="I78:J79 I67:J68 I74:J75 I82:J83 I8:J14 I16:J25 I36:J53 I55:J61 I63:J64 I71:J72">
    <cfRule type="cellIs" dxfId="17" priority="2" stopIfTrue="1" operator="notEqual">
      <formula>ROUND(I8,0)</formula>
    </cfRule>
    <cfRule type="cellIs" dxfId="16" priority="3" stopIfTrue="1" operator="lessThan">
      <formula>0</formula>
    </cfRule>
  </conditionalFormatting>
  <dataValidations count="3">
    <dataValidation type="textLength" operator="lessThan" allowBlank="1" showInputMessage="1" showErrorMessage="1" errorTitle="Redni broj bilješke" error="Redni broj bilješke mora biti text duljine najviše 10 znakova." sqref="H111:H113 H86:H87 H70:H75 H8:H68 H77:H83 H89:H109">
      <formula1>10</formula1>
    </dataValidation>
    <dataValidation type="whole" operator="greaterThanOrEqual" allowBlank="1" showInputMessage="1" showErrorMessage="1" errorTitle="Pogrešan upis" error="Dopušten je upis samo pozitivnih cjelobrojnih vrijednosti" sqref="I71:J72 I78:J79 I82:J83 I74:J75 I67:J68 I63:J64 I55:J61 I36:J53 I16:J25 I8:J14">
      <formula1>0</formula1>
    </dataValidation>
    <dataValidation type="whole" operator="notEqual" allowBlank="1" showInputMessage="1" showErrorMessage="1" errorTitle="Pogrešan upis" error="Dopušten je upis samo cjelobrojnih vrijednosti" sqref="I15:J15 I26:J35 I54:J54 I62:J62 I65:J66 I70:J70 I73:J73 I77:J77 I80:J81 I85:J87 I111:J113 I89:J109">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scale="94" fitToHeight="0"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R89"/>
  <sheetViews>
    <sheetView showGridLines="0" showRowColHeaders="0" workbookViewId="0">
      <pane ySplit="1" topLeftCell="A71" activePane="bottomLeft" state="frozen"/>
      <selection pane="bottomLeft" activeCell="C1" sqref="C1"/>
    </sheetView>
  </sheetViews>
  <sheetFormatPr defaultColWidth="0" defaultRowHeight="12" zeroHeight="1" x14ac:dyDescent="0.2"/>
  <cols>
    <col min="1" max="6" width="9.7109375" style="78" customWidth="1"/>
    <col min="7" max="7" width="5.7109375" style="78" customWidth="1"/>
    <col min="8" max="8" width="5.5703125" style="78" bestFit="1" customWidth="1"/>
    <col min="9" max="10" width="14.7109375" style="78" customWidth="1"/>
    <col min="11" max="11" width="0.85546875" style="78" customWidth="1"/>
    <col min="12" max="12" width="9.140625" style="78" hidden="1" customWidth="1"/>
    <col min="13" max="14" width="11.140625" style="78" hidden="1" customWidth="1"/>
    <col min="15" max="16384" width="9.140625" style="78" hidden="1"/>
  </cols>
  <sheetData>
    <row r="1" spans="1:18" ht="24.95" customHeight="1" thickBot="1" x14ac:dyDescent="0.25">
      <c r="A1" s="139" t="s">
        <v>57</v>
      </c>
      <c r="B1" s="63" t="s">
        <v>56</v>
      </c>
      <c r="C1" s="63" t="s">
        <v>59</v>
      </c>
      <c r="D1" s="63" t="s">
        <v>2328</v>
      </c>
      <c r="E1" s="63" t="s">
        <v>794</v>
      </c>
      <c r="F1" s="63" t="s">
        <v>2824</v>
      </c>
      <c r="G1" s="63" t="s">
        <v>2748</v>
      </c>
      <c r="H1" s="63" t="s">
        <v>2749</v>
      </c>
      <c r="I1" s="63" t="s">
        <v>795</v>
      </c>
      <c r="J1" s="64" t="s">
        <v>58</v>
      </c>
      <c r="Q1" s="70">
        <f>MAX(Q2:Q3)</f>
        <v>0</v>
      </c>
      <c r="R1" s="69" t="s">
        <v>792</v>
      </c>
    </row>
    <row r="2" spans="1:18" s="2" customFormat="1" ht="20.100000000000001" customHeight="1" x14ac:dyDescent="0.2">
      <c r="A2" s="447" t="s">
        <v>821</v>
      </c>
      <c r="B2" s="448"/>
      <c r="C2" s="448"/>
      <c r="D2" s="448"/>
      <c r="E2" s="448"/>
      <c r="F2" s="448"/>
      <c r="G2" s="448"/>
      <c r="H2" s="448"/>
      <c r="I2" s="449"/>
      <c r="J2" s="389" t="s">
        <v>1211</v>
      </c>
      <c r="Q2" s="70">
        <f>IF(MAX(I9:I88)&gt;0,1,0)</f>
        <v>0</v>
      </c>
      <c r="R2" s="69" t="s">
        <v>1204</v>
      </c>
    </row>
    <row r="3" spans="1:18" s="2" customFormat="1" ht="20.100000000000001" customHeight="1" thickBot="1" x14ac:dyDescent="0.25">
      <c r="A3" s="450" t="str">
        <f xml:space="preserve"> "za razdoblje " &amp; IF(RefStr!C4&lt;&gt;"", TEXT(RefStr!C4, "DD.MM.YYYY."), "__.__.____.") &amp; " do " &amp; IF(RefStr!F4&lt;&gt;"", TEXT(RefStr!F4, "DD.MM.YYYY."),"__.__.____.")</f>
        <v>za razdoblje 01.01.2021. do 31.12.2021.</v>
      </c>
      <c r="B3" s="451"/>
      <c r="C3" s="451"/>
      <c r="D3" s="451"/>
      <c r="E3" s="451"/>
      <c r="F3" s="451"/>
      <c r="G3" s="451"/>
      <c r="H3" s="451"/>
      <c r="I3" s="452"/>
      <c r="J3" s="437"/>
      <c r="Q3" s="70">
        <f>IF(MAX(J9:J88)&gt;0,1,0)</f>
        <v>0</v>
      </c>
      <c r="R3" s="69" t="s">
        <v>1205</v>
      </c>
    </row>
    <row r="4" spans="1:18" s="2" customFormat="1" ht="5.0999999999999996" customHeight="1" x14ac:dyDescent="0.2">
      <c r="A4" s="112"/>
      <c r="B4" s="85"/>
      <c r="C4" s="85"/>
      <c r="D4" s="85"/>
      <c r="E4" s="85"/>
      <c r="F4" s="85"/>
      <c r="G4" s="85"/>
      <c r="H4" s="85"/>
      <c r="I4" s="86"/>
      <c r="J4" s="87"/>
    </row>
    <row r="5" spans="1:18" s="2" customFormat="1" ht="15" customHeight="1" x14ac:dyDescent="0.2">
      <c r="A5" s="441" t="str">
        <f>"Obveznik: "&amp;IF(RefStr!C27&lt;&gt;"",RefStr!C27,"________") &amp; "; " &amp; IF(RefStr!C29&lt;&gt;"",RefStr!C29,"________________________________________________________"&amp;"; "&amp;IF(RefStr!F31&lt;&gt;"",RefStr!F31,"_______________"))</f>
        <v>Obveznik: 50327992893; POSLOVNI SUSTAVI d.o.o. RIJEKA</v>
      </c>
      <c r="B5" s="442"/>
      <c r="C5" s="442"/>
      <c r="D5" s="442"/>
      <c r="E5" s="442"/>
      <c r="F5" s="442"/>
      <c r="G5" s="442"/>
      <c r="H5" s="442"/>
      <c r="I5" s="442"/>
      <c r="J5" s="443"/>
    </row>
    <row r="6" spans="1:18" s="2" customFormat="1" ht="24.75" customHeight="1" thickBot="1" x14ac:dyDescent="0.25">
      <c r="A6" s="444" t="s">
        <v>955</v>
      </c>
      <c r="B6" s="445"/>
      <c r="C6" s="445"/>
      <c r="D6" s="445"/>
      <c r="E6" s="445"/>
      <c r="F6" s="445"/>
      <c r="G6" s="446"/>
      <c r="H6" s="103" t="s">
        <v>633</v>
      </c>
      <c r="I6" s="103" t="s">
        <v>19</v>
      </c>
      <c r="J6" s="104" t="s">
        <v>20</v>
      </c>
    </row>
    <row r="7" spans="1:18" s="2" customFormat="1" x14ac:dyDescent="0.2">
      <c r="A7" s="438">
        <v>1</v>
      </c>
      <c r="B7" s="439"/>
      <c r="C7" s="439"/>
      <c r="D7" s="439"/>
      <c r="E7" s="439"/>
      <c r="F7" s="439"/>
      <c r="G7" s="440"/>
      <c r="H7" s="107">
        <v>2</v>
      </c>
      <c r="I7" s="106">
        <v>3</v>
      </c>
      <c r="J7" s="108">
        <v>4</v>
      </c>
    </row>
    <row r="8" spans="1:18" s="2" customFormat="1" ht="14.1" customHeight="1" x14ac:dyDescent="0.2">
      <c r="A8" s="429" t="s">
        <v>1010</v>
      </c>
      <c r="B8" s="430"/>
      <c r="C8" s="430"/>
      <c r="D8" s="430"/>
      <c r="E8" s="430"/>
      <c r="F8" s="430"/>
      <c r="G8" s="430"/>
      <c r="H8" s="430"/>
      <c r="I8" s="430"/>
      <c r="J8" s="431"/>
    </row>
    <row r="9" spans="1:18" s="2" customFormat="1" ht="14.1" customHeight="1" x14ac:dyDescent="0.2">
      <c r="A9" s="427" t="s">
        <v>1009</v>
      </c>
      <c r="B9" s="427"/>
      <c r="C9" s="427"/>
      <c r="D9" s="427"/>
      <c r="E9" s="427"/>
      <c r="F9" s="427"/>
      <c r="G9" s="428"/>
      <c r="H9" s="88">
        <v>228</v>
      </c>
      <c r="I9" s="89"/>
      <c r="J9" s="89"/>
    </row>
    <row r="10" spans="1:18" s="2" customFormat="1" ht="14.1" customHeight="1" x14ac:dyDescent="0.2">
      <c r="A10" s="413" t="s">
        <v>1008</v>
      </c>
      <c r="B10" s="413"/>
      <c r="C10" s="413"/>
      <c r="D10" s="413"/>
      <c r="E10" s="413"/>
      <c r="F10" s="413"/>
      <c r="G10" s="413"/>
      <c r="H10" s="15">
        <v>229</v>
      </c>
      <c r="I10" s="73"/>
      <c r="J10" s="73"/>
    </row>
    <row r="11" spans="1:18" s="2" customFormat="1" ht="14.1" customHeight="1" x14ac:dyDescent="0.2">
      <c r="A11" s="413" t="s">
        <v>606</v>
      </c>
      <c r="B11" s="413"/>
      <c r="C11" s="413"/>
      <c r="D11" s="413"/>
      <c r="E11" s="413"/>
      <c r="F11" s="413"/>
      <c r="G11" s="413"/>
      <c r="H11" s="15">
        <v>230</v>
      </c>
      <c r="I11" s="73"/>
      <c r="J11" s="73"/>
    </row>
    <row r="12" spans="1:18" s="2" customFormat="1" ht="14.1" customHeight="1" x14ac:dyDescent="0.2">
      <c r="A12" s="413" t="s">
        <v>605</v>
      </c>
      <c r="B12" s="413"/>
      <c r="C12" s="413"/>
      <c r="D12" s="413"/>
      <c r="E12" s="413"/>
      <c r="F12" s="413"/>
      <c r="G12" s="413"/>
      <c r="H12" s="15">
        <v>231</v>
      </c>
      <c r="I12" s="73"/>
      <c r="J12" s="73"/>
    </row>
    <row r="13" spans="1:18" s="2" customFormat="1" ht="14.1" customHeight="1" x14ac:dyDescent="0.2">
      <c r="A13" s="413" t="s">
        <v>604</v>
      </c>
      <c r="B13" s="413"/>
      <c r="C13" s="413"/>
      <c r="D13" s="413"/>
      <c r="E13" s="413"/>
      <c r="F13" s="413"/>
      <c r="G13" s="413"/>
      <c r="H13" s="15">
        <v>232</v>
      </c>
      <c r="I13" s="73"/>
      <c r="J13" s="73"/>
    </row>
    <row r="14" spans="1:18" s="2" customFormat="1" ht="14.1" customHeight="1" x14ac:dyDescent="0.2">
      <c r="A14" s="413" t="s">
        <v>603</v>
      </c>
      <c r="B14" s="413"/>
      <c r="C14" s="413"/>
      <c r="D14" s="413"/>
      <c r="E14" s="413"/>
      <c r="F14" s="413"/>
      <c r="G14" s="413"/>
      <c r="H14" s="15">
        <v>233</v>
      </c>
      <c r="I14" s="73"/>
      <c r="J14" s="73"/>
    </row>
    <row r="15" spans="1:18" s="2" customFormat="1" ht="14.1" customHeight="1" x14ac:dyDescent="0.2">
      <c r="A15" s="425" t="s">
        <v>602</v>
      </c>
      <c r="B15" s="425"/>
      <c r="C15" s="425"/>
      <c r="D15" s="425"/>
      <c r="E15" s="425"/>
      <c r="F15" s="425"/>
      <c r="G15" s="425"/>
      <c r="H15" s="17">
        <v>234</v>
      </c>
      <c r="I15" s="74"/>
      <c r="J15" s="74"/>
    </row>
    <row r="16" spans="1:18" s="2" customFormat="1" ht="14.1" customHeight="1" x14ac:dyDescent="0.2">
      <c r="A16" s="429" t="s">
        <v>1011</v>
      </c>
      <c r="B16" s="430"/>
      <c r="C16" s="430"/>
      <c r="D16" s="430"/>
      <c r="E16" s="430"/>
      <c r="F16" s="430"/>
      <c r="G16" s="430"/>
      <c r="H16" s="430"/>
      <c r="I16" s="430"/>
      <c r="J16" s="431"/>
    </row>
    <row r="17" spans="1:10" s="2" customFormat="1" ht="14.1" customHeight="1" x14ac:dyDescent="0.2">
      <c r="A17" s="427" t="s">
        <v>600</v>
      </c>
      <c r="B17" s="427"/>
      <c r="C17" s="427"/>
      <c r="D17" s="427"/>
      <c r="E17" s="427"/>
      <c r="F17" s="427"/>
      <c r="G17" s="428"/>
      <c r="H17" s="88">
        <v>235</v>
      </c>
      <c r="I17" s="90"/>
      <c r="J17" s="90"/>
    </row>
    <row r="18" spans="1:10" s="2" customFormat="1" ht="14.1" customHeight="1" x14ac:dyDescent="0.2">
      <c r="A18" s="413" t="s">
        <v>601</v>
      </c>
      <c r="B18" s="413"/>
      <c r="C18" s="413"/>
      <c r="D18" s="413"/>
      <c r="E18" s="413"/>
      <c r="F18" s="413"/>
      <c r="G18" s="426"/>
      <c r="H18" s="15">
        <v>236</v>
      </c>
      <c r="I18" s="73"/>
      <c r="J18" s="73"/>
    </row>
    <row r="19" spans="1:10" s="2" customFormat="1" ht="14.1" customHeight="1" x14ac:dyDescent="0.2">
      <c r="A19" s="413" t="s">
        <v>597</v>
      </c>
      <c r="B19" s="413"/>
      <c r="C19" s="413"/>
      <c r="D19" s="413"/>
      <c r="E19" s="413"/>
      <c r="F19" s="413"/>
      <c r="G19" s="426"/>
      <c r="H19" s="15">
        <v>237</v>
      </c>
      <c r="I19" s="73"/>
      <c r="J19" s="73"/>
    </row>
    <row r="20" spans="1:10" s="2" customFormat="1" ht="14.1" customHeight="1" x14ac:dyDescent="0.2">
      <c r="A20" s="413" t="s">
        <v>598</v>
      </c>
      <c r="B20" s="413"/>
      <c r="C20" s="413"/>
      <c r="D20" s="413"/>
      <c r="E20" s="413"/>
      <c r="F20" s="413"/>
      <c r="G20" s="426"/>
      <c r="H20" s="15">
        <v>238</v>
      </c>
      <c r="I20" s="73"/>
      <c r="J20" s="73"/>
    </row>
    <row r="21" spans="1:10" s="2" customFormat="1" ht="14.1" customHeight="1" x14ac:dyDescent="0.2">
      <c r="A21" s="425" t="s">
        <v>599</v>
      </c>
      <c r="B21" s="425"/>
      <c r="C21" s="425"/>
      <c r="D21" s="425"/>
      <c r="E21" s="425"/>
      <c r="F21" s="425"/>
      <c r="G21" s="432"/>
      <c r="H21" s="17">
        <v>239</v>
      </c>
      <c r="I21" s="74"/>
      <c r="J21" s="74"/>
    </row>
    <row r="22" spans="1:10" s="2" customFormat="1" ht="14.1" customHeight="1" x14ac:dyDescent="0.2">
      <c r="A22" s="429" t="s">
        <v>1012</v>
      </c>
      <c r="B22" s="430"/>
      <c r="C22" s="430"/>
      <c r="D22" s="430"/>
      <c r="E22" s="430"/>
      <c r="F22" s="430"/>
      <c r="G22" s="430"/>
      <c r="H22" s="430"/>
      <c r="I22" s="430"/>
      <c r="J22" s="431"/>
    </row>
    <row r="23" spans="1:10" s="2" customFormat="1" ht="14.1" customHeight="1" x14ac:dyDescent="0.2">
      <c r="A23" s="435" t="s">
        <v>2655</v>
      </c>
      <c r="B23" s="435"/>
      <c r="C23" s="435"/>
      <c r="D23" s="435"/>
      <c r="E23" s="435"/>
      <c r="F23" s="435"/>
      <c r="G23" s="436"/>
      <c r="H23" s="91">
        <v>240</v>
      </c>
      <c r="I23" s="92"/>
      <c r="J23" s="92"/>
    </row>
    <row r="24" spans="1:10" s="2" customFormat="1" ht="14.1" customHeight="1" x14ac:dyDescent="0.2">
      <c r="A24" s="429" t="s">
        <v>1013</v>
      </c>
      <c r="B24" s="430"/>
      <c r="C24" s="430"/>
      <c r="D24" s="430"/>
      <c r="E24" s="430"/>
      <c r="F24" s="430"/>
      <c r="G24" s="430"/>
      <c r="H24" s="430"/>
      <c r="I24" s="430"/>
      <c r="J24" s="431"/>
    </row>
    <row r="25" spans="1:10" s="2" customFormat="1" ht="14.1" customHeight="1" x14ac:dyDescent="0.2">
      <c r="A25" s="427" t="s">
        <v>2656</v>
      </c>
      <c r="B25" s="427"/>
      <c r="C25" s="427"/>
      <c r="D25" s="427"/>
      <c r="E25" s="427"/>
      <c r="F25" s="427"/>
      <c r="G25" s="428"/>
      <c r="H25" s="88">
        <v>241</v>
      </c>
      <c r="I25" s="90"/>
      <c r="J25" s="90"/>
    </row>
    <row r="26" spans="1:10" s="2" customFormat="1" ht="24.95" customHeight="1" x14ac:dyDescent="0.2">
      <c r="A26" s="413" t="s">
        <v>2102</v>
      </c>
      <c r="B26" s="413"/>
      <c r="C26" s="413"/>
      <c r="D26" s="413"/>
      <c r="E26" s="413"/>
      <c r="F26" s="413"/>
      <c r="G26" s="426"/>
      <c r="H26" s="15">
        <v>242</v>
      </c>
      <c r="I26" s="73"/>
      <c r="J26" s="73"/>
    </row>
    <row r="27" spans="1:10" s="2" customFormat="1" ht="14.1" customHeight="1" x14ac:dyDescent="0.2">
      <c r="A27" s="413" t="s">
        <v>1014</v>
      </c>
      <c r="B27" s="413"/>
      <c r="C27" s="413"/>
      <c r="D27" s="413"/>
      <c r="E27" s="413"/>
      <c r="F27" s="413"/>
      <c r="G27" s="426"/>
      <c r="H27" s="15">
        <v>243</v>
      </c>
      <c r="I27" s="73"/>
      <c r="J27" s="73"/>
    </row>
    <row r="28" spans="1:10" s="2" customFormat="1" ht="14.1" customHeight="1" x14ac:dyDescent="0.2">
      <c r="A28" s="413" t="s">
        <v>1015</v>
      </c>
      <c r="B28" s="413"/>
      <c r="C28" s="413"/>
      <c r="D28" s="413"/>
      <c r="E28" s="413"/>
      <c r="F28" s="413"/>
      <c r="G28" s="426"/>
      <c r="H28" s="15">
        <v>244</v>
      </c>
      <c r="I28" s="73"/>
      <c r="J28" s="73"/>
    </row>
    <row r="29" spans="1:10" s="2" customFormat="1" ht="14.1" customHeight="1" x14ac:dyDescent="0.2">
      <c r="A29" s="413" t="s">
        <v>1016</v>
      </c>
      <c r="B29" s="413"/>
      <c r="C29" s="413"/>
      <c r="D29" s="413"/>
      <c r="E29" s="413"/>
      <c r="F29" s="413"/>
      <c r="G29" s="426"/>
      <c r="H29" s="15">
        <v>245</v>
      </c>
      <c r="I29" s="73"/>
      <c r="J29" s="73"/>
    </row>
    <row r="30" spans="1:10" s="2" customFormat="1" ht="14.1" customHeight="1" x14ac:dyDescent="0.2">
      <c r="A30" s="413" t="s">
        <v>1017</v>
      </c>
      <c r="B30" s="413"/>
      <c r="C30" s="413"/>
      <c r="D30" s="413"/>
      <c r="E30" s="413"/>
      <c r="F30" s="413"/>
      <c r="G30" s="426"/>
      <c r="H30" s="15">
        <v>246</v>
      </c>
      <c r="I30" s="73"/>
      <c r="J30" s="73"/>
    </row>
    <row r="31" spans="1:10" s="2" customFormat="1" ht="14.1" customHeight="1" x14ac:dyDescent="0.2">
      <c r="A31" s="413" t="s">
        <v>1018</v>
      </c>
      <c r="B31" s="413"/>
      <c r="C31" s="413"/>
      <c r="D31" s="413"/>
      <c r="E31" s="413"/>
      <c r="F31" s="413"/>
      <c r="G31" s="426"/>
      <c r="H31" s="15">
        <v>247</v>
      </c>
      <c r="I31" s="73"/>
      <c r="J31" s="73"/>
    </row>
    <row r="32" spans="1:10" s="2" customFormat="1" ht="14.1" customHeight="1" x14ac:dyDescent="0.2">
      <c r="A32" s="413" t="s">
        <v>1019</v>
      </c>
      <c r="B32" s="413"/>
      <c r="C32" s="413"/>
      <c r="D32" s="413"/>
      <c r="E32" s="413"/>
      <c r="F32" s="413"/>
      <c r="G32" s="426"/>
      <c r="H32" s="15">
        <v>248</v>
      </c>
      <c r="I32" s="73"/>
      <c r="J32" s="73"/>
    </row>
    <row r="33" spans="1:10" s="2" customFormat="1" ht="24.95" customHeight="1" x14ac:dyDescent="0.2">
      <c r="A33" s="413" t="s">
        <v>2103</v>
      </c>
      <c r="B33" s="413"/>
      <c r="C33" s="413"/>
      <c r="D33" s="413"/>
      <c r="E33" s="413"/>
      <c r="F33" s="413"/>
      <c r="G33" s="426"/>
      <c r="H33" s="15">
        <v>249</v>
      </c>
      <c r="I33" s="73"/>
      <c r="J33" s="73"/>
    </row>
    <row r="34" spans="1:10" s="2" customFormat="1" ht="36" customHeight="1" x14ac:dyDescent="0.2">
      <c r="A34" s="413" t="s">
        <v>2104</v>
      </c>
      <c r="B34" s="413"/>
      <c r="C34" s="413"/>
      <c r="D34" s="413"/>
      <c r="E34" s="413"/>
      <c r="F34" s="413"/>
      <c r="G34" s="426"/>
      <c r="H34" s="15">
        <v>250</v>
      </c>
      <c r="I34" s="73"/>
      <c r="J34" s="73"/>
    </row>
    <row r="35" spans="1:10" s="2" customFormat="1" ht="36" customHeight="1" x14ac:dyDescent="0.2">
      <c r="A35" s="425" t="s">
        <v>1020</v>
      </c>
      <c r="B35" s="425"/>
      <c r="C35" s="425"/>
      <c r="D35" s="425"/>
      <c r="E35" s="425"/>
      <c r="F35" s="425"/>
      <c r="G35" s="432"/>
      <c r="H35" s="17">
        <v>251</v>
      </c>
      <c r="I35" s="74"/>
      <c r="J35" s="74"/>
    </row>
    <row r="36" spans="1:10" s="2" customFormat="1" ht="14.1" customHeight="1" x14ac:dyDescent="0.2">
      <c r="A36" s="429" t="s">
        <v>1021</v>
      </c>
      <c r="B36" s="430"/>
      <c r="C36" s="430"/>
      <c r="D36" s="430"/>
      <c r="E36" s="430"/>
      <c r="F36" s="430"/>
      <c r="G36" s="430"/>
      <c r="H36" s="430"/>
      <c r="I36" s="430"/>
      <c r="J36" s="431"/>
    </row>
    <row r="37" spans="1:10" s="2" customFormat="1" ht="14.1" customHeight="1" x14ac:dyDescent="0.2">
      <c r="A37" s="427" t="s">
        <v>73</v>
      </c>
      <c r="B37" s="427"/>
      <c r="C37" s="427"/>
      <c r="D37" s="427"/>
      <c r="E37" s="427"/>
      <c r="F37" s="427"/>
      <c r="G37" s="428"/>
      <c r="H37" s="88">
        <v>252</v>
      </c>
      <c r="I37" s="90"/>
      <c r="J37" s="90"/>
    </row>
    <row r="38" spans="1:10" s="2" customFormat="1" ht="14.1" customHeight="1" x14ac:dyDescent="0.2">
      <c r="A38" s="425" t="s">
        <v>2360</v>
      </c>
      <c r="B38" s="425"/>
      <c r="C38" s="425"/>
      <c r="D38" s="425"/>
      <c r="E38" s="425"/>
      <c r="F38" s="425"/>
      <c r="G38" s="432"/>
      <c r="H38" s="17">
        <v>253</v>
      </c>
      <c r="I38" s="74"/>
      <c r="J38" s="74"/>
    </row>
    <row r="39" spans="1:10" s="2" customFormat="1" ht="14.1" customHeight="1" x14ac:dyDescent="0.2">
      <c r="A39" s="429" t="s">
        <v>1022</v>
      </c>
      <c r="B39" s="430"/>
      <c r="C39" s="430"/>
      <c r="D39" s="430"/>
      <c r="E39" s="430"/>
      <c r="F39" s="430"/>
      <c r="G39" s="430"/>
      <c r="H39" s="430"/>
      <c r="I39" s="430"/>
      <c r="J39" s="431"/>
    </row>
    <row r="40" spans="1:10" s="2" customFormat="1" ht="14.1" customHeight="1" x14ac:dyDescent="0.2">
      <c r="A40" s="435" t="s">
        <v>2657</v>
      </c>
      <c r="B40" s="435"/>
      <c r="C40" s="435"/>
      <c r="D40" s="435"/>
      <c r="E40" s="435"/>
      <c r="F40" s="435"/>
      <c r="G40" s="436"/>
      <c r="H40" s="91">
        <v>254</v>
      </c>
      <c r="I40" s="92"/>
      <c r="J40" s="92"/>
    </row>
    <row r="41" spans="1:10" s="2" customFormat="1" ht="14.1" customHeight="1" x14ac:dyDescent="0.2">
      <c r="A41" s="429" t="s">
        <v>1023</v>
      </c>
      <c r="B41" s="430"/>
      <c r="C41" s="430"/>
      <c r="D41" s="430"/>
      <c r="E41" s="430"/>
      <c r="F41" s="430"/>
      <c r="G41" s="430"/>
      <c r="H41" s="430"/>
      <c r="I41" s="430"/>
      <c r="J41" s="431"/>
    </row>
    <row r="42" spans="1:10" s="2" customFormat="1" ht="24.95" customHeight="1" x14ac:dyDescent="0.2">
      <c r="A42" s="427" t="s">
        <v>2105</v>
      </c>
      <c r="B42" s="427"/>
      <c r="C42" s="427"/>
      <c r="D42" s="427"/>
      <c r="E42" s="427"/>
      <c r="F42" s="427"/>
      <c r="G42" s="428"/>
      <c r="H42" s="88">
        <v>255</v>
      </c>
      <c r="I42" s="90"/>
      <c r="J42" s="90"/>
    </row>
    <row r="43" spans="1:10" s="2" customFormat="1" ht="14.1" customHeight="1" x14ac:dyDescent="0.2">
      <c r="A43" s="413" t="s">
        <v>1024</v>
      </c>
      <c r="B43" s="413"/>
      <c r="C43" s="413"/>
      <c r="D43" s="413"/>
      <c r="E43" s="413"/>
      <c r="F43" s="413"/>
      <c r="G43" s="426"/>
      <c r="H43" s="15">
        <v>256</v>
      </c>
      <c r="I43" s="73"/>
      <c r="J43" s="73"/>
    </row>
    <row r="44" spans="1:10" s="2" customFormat="1" ht="14.1" customHeight="1" x14ac:dyDescent="0.2">
      <c r="A44" s="433" t="s">
        <v>1027</v>
      </c>
      <c r="B44" s="433"/>
      <c r="C44" s="433"/>
      <c r="D44" s="433"/>
      <c r="E44" s="433"/>
      <c r="F44" s="433"/>
      <c r="G44" s="434"/>
      <c r="H44" s="15">
        <v>257</v>
      </c>
      <c r="I44" s="73"/>
      <c r="J44" s="73"/>
    </row>
    <row r="45" spans="1:10" s="2" customFormat="1" ht="14.1" customHeight="1" x14ac:dyDescent="0.2">
      <c r="A45" s="413" t="s">
        <v>1025</v>
      </c>
      <c r="B45" s="413"/>
      <c r="C45" s="413"/>
      <c r="D45" s="413"/>
      <c r="E45" s="413"/>
      <c r="F45" s="413"/>
      <c r="G45" s="426"/>
      <c r="H45" s="15">
        <v>258</v>
      </c>
      <c r="I45" s="73"/>
      <c r="J45" s="73"/>
    </row>
    <row r="46" spans="1:10" s="2" customFormat="1" ht="24.95" customHeight="1" x14ac:dyDescent="0.2">
      <c r="A46" s="413" t="s">
        <v>1028</v>
      </c>
      <c r="B46" s="413"/>
      <c r="C46" s="413"/>
      <c r="D46" s="413"/>
      <c r="E46" s="413"/>
      <c r="F46" s="413"/>
      <c r="G46" s="426"/>
      <c r="H46" s="15">
        <v>259</v>
      </c>
      <c r="I46" s="73"/>
      <c r="J46" s="73"/>
    </row>
    <row r="47" spans="1:10" s="2" customFormat="1" ht="14.1" customHeight="1" x14ac:dyDescent="0.2">
      <c r="A47" s="425" t="s">
        <v>1026</v>
      </c>
      <c r="B47" s="425"/>
      <c r="C47" s="425"/>
      <c r="D47" s="425"/>
      <c r="E47" s="425"/>
      <c r="F47" s="425"/>
      <c r="G47" s="432"/>
      <c r="H47" s="17">
        <v>260</v>
      </c>
      <c r="I47" s="74"/>
      <c r="J47" s="74"/>
    </row>
    <row r="48" spans="1:10" s="2" customFormat="1" ht="14.1" customHeight="1" x14ac:dyDescent="0.2">
      <c r="A48" s="429" t="s">
        <v>1029</v>
      </c>
      <c r="B48" s="430"/>
      <c r="C48" s="430"/>
      <c r="D48" s="430"/>
      <c r="E48" s="430"/>
      <c r="F48" s="430"/>
      <c r="G48" s="430"/>
      <c r="H48" s="430"/>
      <c r="I48" s="430"/>
      <c r="J48" s="431"/>
    </row>
    <row r="49" spans="1:10" s="2" customFormat="1" ht="14.1" customHeight="1" x14ac:dyDescent="0.2">
      <c r="A49" s="427" t="s">
        <v>1031</v>
      </c>
      <c r="B49" s="427"/>
      <c r="C49" s="427"/>
      <c r="D49" s="427"/>
      <c r="E49" s="427"/>
      <c r="F49" s="427"/>
      <c r="G49" s="428"/>
      <c r="H49" s="88">
        <v>261</v>
      </c>
      <c r="I49" s="90"/>
      <c r="J49" s="90"/>
    </row>
    <row r="50" spans="1:10" s="2" customFormat="1" ht="14.1" customHeight="1" x14ac:dyDescent="0.2">
      <c r="A50" s="413" t="s">
        <v>1032</v>
      </c>
      <c r="B50" s="413"/>
      <c r="C50" s="413"/>
      <c r="D50" s="413"/>
      <c r="E50" s="413"/>
      <c r="F50" s="413"/>
      <c r="G50" s="426"/>
      <c r="H50" s="15">
        <v>262</v>
      </c>
      <c r="I50" s="73"/>
      <c r="J50" s="73"/>
    </row>
    <row r="51" spans="1:10" s="2" customFormat="1" ht="24.95" customHeight="1" x14ac:dyDescent="0.2">
      <c r="A51" s="413" t="s">
        <v>2106</v>
      </c>
      <c r="B51" s="413"/>
      <c r="C51" s="413"/>
      <c r="D51" s="413"/>
      <c r="E51" s="413"/>
      <c r="F51" s="413"/>
      <c r="G51" s="426"/>
      <c r="H51" s="15">
        <v>263</v>
      </c>
      <c r="I51" s="73"/>
      <c r="J51" s="73"/>
    </row>
    <row r="52" spans="1:10" s="2" customFormat="1" ht="24.95" customHeight="1" x14ac:dyDescent="0.2">
      <c r="A52" s="413" t="s">
        <v>643</v>
      </c>
      <c r="B52" s="413"/>
      <c r="C52" s="413"/>
      <c r="D52" s="413"/>
      <c r="E52" s="413"/>
      <c r="F52" s="413"/>
      <c r="G52" s="426"/>
      <c r="H52" s="15">
        <v>264</v>
      </c>
      <c r="I52" s="73"/>
      <c r="J52" s="73"/>
    </row>
    <row r="53" spans="1:10" s="2" customFormat="1" ht="14.1" customHeight="1" x14ac:dyDescent="0.2">
      <c r="A53" s="413" t="s">
        <v>1033</v>
      </c>
      <c r="B53" s="413"/>
      <c r="C53" s="413"/>
      <c r="D53" s="413"/>
      <c r="E53" s="413"/>
      <c r="F53" s="413"/>
      <c r="G53" s="426"/>
      <c r="H53" s="15">
        <v>265</v>
      </c>
      <c r="I53" s="73"/>
      <c r="J53" s="73"/>
    </row>
    <row r="54" spans="1:10" s="2" customFormat="1" ht="14.1" customHeight="1" x14ac:dyDescent="0.2">
      <c r="A54" s="413" t="s">
        <v>1034</v>
      </c>
      <c r="B54" s="413"/>
      <c r="C54" s="413"/>
      <c r="D54" s="413"/>
      <c r="E54" s="413"/>
      <c r="F54" s="413"/>
      <c r="G54" s="426"/>
      <c r="H54" s="15">
        <v>266</v>
      </c>
      <c r="I54" s="73"/>
      <c r="J54" s="73"/>
    </row>
    <row r="55" spans="1:10" s="2" customFormat="1" ht="14.1" customHeight="1" x14ac:dyDescent="0.2">
      <c r="A55" s="413" t="s">
        <v>2815</v>
      </c>
      <c r="B55" s="413"/>
      <c r="C55" s="413"/>
      <c r="D55" s="413"/>
      <c r="E55" s="413"/>
      <c r="F55" s="413"/>
      <c r="G55" s="426"/>
      <c r="H55" s="15">
        <v>267</v>
      </c>
      <c r="I55" s="73"/>
      <c r="J55" s="73"/>
    </row>
    <row r="56" spans="1:10" s="2" customFormat="1" ht="14.1" customHeight="1" x14ac:dyDescent="0.2">
      <c r="A56" s="413" t="s">
        <v>2816</v>
      </c>
      <c r="B56" s="413"/>
      <c r="C56" s="413"/>
      <c r="D56" s="413"/>
      <c r="E56" s="413"/>
      <c r="F56" s="413"/>
      <c r="G56" s="426"/>
      <c r="H56" s="15">
        <v>268</v>
      </c>
      <c r="I56" s="73"/>
      <c r="J56" s="73"/>
    </row>
    <row r="57" spans="1:10" s="2" customFormat="1" ht="25.5" customHeight="1" x14ac:dyDescent="0.2">
      <c r="A57" s="413" t="s">
        <v>644</v>
      </c>
      <c r="B57" s="413"/>
      <c r="C57" s="413"/>
      <c r="D57" s="413"/>
      <c r="E57" s="413"/>
      <c r="F57" s="413"/>
      <c r="G57" s="426"/>
      <c r="H57" s="15">
        <v>269</v>
      </c>
      <c r="I57" s="73"/>
      <c r="J57" s="73"/>
    </row>
    <row r="58" spans="1:10" s="2" customFormat="1" ht="14.1" customHeight="1" x14ac:dyDescent="0.2">
      <c r="A58" s="413" t="s">
        <v>2817</v>
      </c>
      <c r="B58" s="413"/>
      <c r="C58" s="413"/>
      <c r="D58" s="413"/>
      <c r="E58" s="413"/>
      <c r="F58" s="413"/>
      <c r="G58" s="426"/>
      <c r="H58" s="15">
        <v>270</v>
      </c>
      <c r="I58" s="73"/>
      <c r="J58" s="73"/>
    </row>
    <row r="59" spans="1:10" s="2" customFormat="1" ht="14.1" customHeight="1" x14ac:dyDescent="0.2">
      <c r="A59" s="413" t="s">
        <v>2818</v>
      </c>
      <c r="B59" s="413"/>
      <c r="C59" s="413"/>
      <c r="D59" s="413"/>
      <c r="E59" s="413"/>
      <c r="F59" s="413"/>
      <c r="G59" s="426"/>
      <c r="H59" s="15">
        <v>271</v>
      </c>
      <c r="I59" s="73"/>
      <c r="J59" s="73"/>
    </row>
    <row r="60" spans="1:10" s="2" customFormat="1" ht="14.1" customHeight="1" x14ac:dyDescent="0.2">
      <c r="A60" s="413" t="s">
        <v>2819</v>
      </c>
      <c r="B60" s="413"/>
      <c r="C60" s="413"/>
      <c r="D60" s="413"/>
      <c r="E60" s="413"/>
      <c r="F60" s="413"/>
      <c r="G60" s="426"/>
      <c r="H60" s="15">
        <v>272</v>
      </c>
      <c r="I60" s="73"/>
      <c r="J60" s="73"/>
    </row>
    <row r="61" spans="1:10" s="2" customFormat="1" ht="14.1" customHeight="1" x14ac:dyDescent="0.2">
      <c r="A61" s="433" t="s">
        <v>645</v>
      </c>
      <c r="B61" s="433"/>
      <c r="C61" s="433"/>
      <c r="D61" s="433"/>
      <c r="E61" s="433"/>
      <c r="F61" s="433"/>
      <c r="G61" s="434"/>
      <c r="H61" s="15">
        <v>273</v>
      </c>
      <c r="I61" s="73"/>
      <c r="J61" s="73"/>
    </row>
    <row r="62" spans="1:10" s="2" customFormat="1" ht="14.1" customHeight="1" x14ac:dyDescent="0.2">
      <c r="A62" s="413" t="s">
        <v>2820</v>
      </c>
      <c r="B62" s="413"/>
      <c r="C62" s="413"/>
      <c r="D62" s="413"/>
      <c r="E62" s="413"/>
      <c r="F62" s="413"/>
      <c r="G62" s="426"/>
      <c r="H62" s="15">
        <v>274</v>
      </c>
      <c r="I62" s="73"/>
      <c r="J62" s="73"/>
    </row>
    <row r="63" spans="1:10" s="2" customFormat="1" ht="14.1" customHeight="1" x14ac:dyDescent="0.2">
      <c r="A63" s="413" t="s">
        <v>2821</v>
      </c>
      <c r="B63" s="413"/>
      <c r="C63" s="413"/>
      <c r="D63" s="413"/>
      <c r="E63" s="413"/>
      <c r="F63" s="413"/>
      <c r="G63" s="426"/>
      <c r="H63" s="15">
        <v>275</v>
      </c>
      <c r="I63" s="73"/>
      <c r="J63" s="73"/>
    </row>
    <row r="64" spans="1:10" s="2" customFormat="1" ht="14.1" customHeight="1" x14ac:dyDescent="0.2">
      <c r="A64" s="413" t="s">
        <v>2822</v>
      </c>
      <c r="B64" s="413"/>
      <c r="C64" s="413"/>
      <c r="D64" s="413"/>
      <c r="E64" s="413"/>
      <c r="F64" s="413"/>
      <c r="G64" s="426"/>
      <c r="H64" s="15">
        <v>276</v>
      </c>
      <c r="I64" s="73"/>
      <c r="J64" s="73"/>
    </row>
    <row r="65" spans="1:10" s="2" customFormat="1" ht="14.1" customHeight="1" x14ac:dyDescent="0.2">
      <c r="A65" s="413" t="s">
        <v>642</v>
      </c>
      <c r="B65" s="413"/>
      <c r="C65" s="413"/>
      <c r="D65" s="413"/>
      <c r="E65" s="413"/>
      <c r="F65" s="413"/>
      <c r="G65" s="426"/>
      <c r="H65" s="15">
        <v>277</v>
      </c>
      <c r="I65" s="73"/>
      <c r="J65" s="73"/>
    </row>
    <row r="66" spans="1:10" s="2" customFormat="1" ht="14.1" customHeight="1" x14ac:dyDescent="0.2">
      <c r="A66" s="433" t="s">
        <v>2658</v>
      </c>
      <c r="B66" s="433"/>
      <c r="C66" s="433"/>
      <c r="D66" s="433"/>
      <c r="E66" s="433"/>
      <c r="F66" s="433"/>
      <c r="G66" s="434"/>
      <c r="H66" s="15">
        <v>278</v>
      </c>
      <c r="I66" s="73"/>
      <c r="J66" s="73"/>
    </row>
    <row r="67" spans="1:10" s="2" customFormat="1" ht="24.95" customHeight="1" x14ac:dyDescent="0.2">
      <c r="A67" s="413" t="s">
        <v>2107</v>
      </c>
      <c r="B67" s="413"/>
      <c r="C67" s="413"/>
      <c r="D67" s="413"/>
      <c r="E67" s="413"/>
      <c r="F67" s="413"/>
      <c r="G67" s="426"/>
      <c r="H67" s="15">
        <v>279</v>
      </c>
      <c r="I67" s="73"/>
      <c r="J67" s="73"/>
    </row>
    <row r="68" spans="1:10" s="2" customFormat="1" ht="14.1" customHeight="1" x14ac:dyDescent="0.2">
      <c r="A68" s="413" t="s">
        <v>648</v>
      </c>
      <c r="B68" s="413"/>
      <c r="C68" s="413"/>
      <c r="D68" s="413"/>
      <c r="E68" s="413"/>
      <c r="F68" s="413"/>
      <c r="G68" s="426"/>
      <c r="H68" s="15">
        <v>280</v>
      </c>
      <c r="I68" s="73"/>
      <c r="J68" s="73"/>
    </row>
    <row r="69" spans="1:10" s="2" customFormat="1" ht="14.1" customHeight="1" x14ac:dyDescent="0.2">
      <c r="A69" s="413" t="s">
        <v>647</v>
      </c>
      <c r="B69" s="413"/>
      <c r="C69" s="413"/>
      <c r="D69" s="413"/>
      <c r="E69" s="413"/>
      <c r="F69" s="413"/>
      <c r="G69" s="426"/>
      <c r="H69" s="15">
        <v>281</v>
      </c>
      <c r="I69" s="73"/>
      <c r="J69" s="73"/>
    </row>
    <row r="70" spans="1:10" s="2" customFormat="1" ht="24.95" customHeight="1" x14ac:dyDescent="0.2">
      <c r="A70" s="413" t="s">
        <v>646</v>
      </c>
      <c r="B70" s="413"/>
      <c r="C70" s="413"/>
      <c r="D70" s="413"/>
      <c r="E70" s="413"/>
      <c r="F70" s="413"/>
      <c r="G70" s="426"/>
      <c r="H70" s="15">
        <v>282</v>
      </c>
      <c r="I70" s="73"/>
      <c r="J70" s="73"/>
    </row>
    <row r="71" spans="1:10" s="2" customFormat="1" ht="14.1" customHeight="1" x14ac:dyDescent="0.2">
      <c r="A71" s="425" t="s">
        <v>2055</v>
      </c>
      <c r="B71" s="425"/>
      <c r="C71" s="425"/>
      <c r="D71" s="425"/>
      <c r="E71" s="425"/>
      <c r="F71" s="425"/>
      <c r="G71" s="432"/>
      <c r="H71" s="17">
        <v>283</v>
      </c>
      <c r="I71" s="74"/>
      <c r="J71" s="74"/>
    </row>
    <row r="72" spans="1:10" s="2" customFormat="1" ht="14.1" customHeight="1" x14ac:dyDescent="0.2">
      <c r="A72" s="429" t="s">
        <v>1030</v>
      </c>
      <c r="B72" s="430"/>
      <c r="C72" s="430"/>
      <c r="D72" s="430"/>
      <c r="E72" s="430"/>
      <c r="F72" s="430"/>
      <c r="G72" s="430"/>
      <c r="H72" s="430"/>
      <c r="I72" s="430"/>
      <c r="J72" s="431"/>
    </row>
    <row r="73" spans="1:10" s="2" customFormat="1" ht="14.1" customHeight="1" x14ac:dyDescent="0.2">
      <c r="A73" s="427" t="s">
        <v>990</v>
      </c>
      <c r="B73" s="427"/>
      <c r="C73" s="427"/>
      <c r="D73" s="427"/>
      <c r="E73" s="427"/>
      <c r="F73" s="427"/>
      <c r="G73" s="428"/>
      <c r="H73" s="88">
        <v>284</v>
      </c>
      <c r="I73" s="90"/>
      <c r="J73" s="90"/>
    </row>
    <row r="74" spans="1:10" s="2" customFormat="1" ht="14.1" customHeight="1" x14ac:dyDescent="0.2">
      <c r="A74" s="413" t="s">
        <v>991</v>
      </c>
      <c r="B74" s="413"/>
      <c r="C74" s="413"/>
      <c r="D74" s="413"/>
      <c r="E74" s="413"/>
      <c r="F74" s="413"/>
      <c r="G74" s="426"/>
      <c r="H74" s="15">
        <v>285</v>
      </c>
      <c r="I74" s="73"/>
      <c r="J74" s="73"/>
    </row>
    <row r="75" spans="1:10" s="2" customFormat="1" ht="14.1" customHeight="1" x14ac:dyDescent="0.2">
      <c r="A75" s="413" t="s">
        <v>2231</v>
      </c>
      <c r="B75" s="413"/>
      <c r="C75" s="413"/>
      <c r="D75" s="413"/>
      <c r="E75" s="413"/>
      <c r="F75" s="413"/>
      <c r="G75" s="426"/>
      <c r="H75" s="15">
        <v>286</v>
      </c>
      <c r="I75" s="73"/>
      <c r="J75" s="73"/>
    </row>
    <row r="76" spans="1:10" s="2" customFormat="1" ht="14.1" customHeight="1" x14ac:dyDescent="0.2">
      <c r="A76" s="425" t="s">
        <v>2232</v>
      </c>
      <c r="B76" s="425"/>
      <c r="C76" s="425"/>
      <c r="D76" s="425"/>
      <c r="E76" s="425"/>
      <c r="F76" s="425"/>
      <c r="G76" s="432"/>
      <c r="H76" s="17">
        <v>287</v>
      </c>
      <c r="I76" s="74"/>
      <c r="J76" s="74"/>
    </row>
    <row r="77" spans="1:10" s="2" customFormat="1" ht="14.1" customHeight="1" x14ac:dyDescent="0.2">
      <c r="A77" s="429" t="s">
        <v>2054</v>
      </c>
      <c r="B77" s="430"/>
      <c r="C77" s="430"/>
      <c r="D77" s="430"/>
      <c r="E77" s="430"/>
      <c r="F77" s="430"/>
      <c r="G77" s="430"/>
      <c r="H77" s="430"/>
      <c r="I77" s="430"/>
      <c r="J77" s="431"/>
    </row>
    <row r="78" spans="1:10" s="2" customFormat="1" ht="24.95" customHeight="1" x14ac:dyDescent="0.2">
      <c r="A78" s="427" t="s">
        <v>361</v>
      </c>
      <c r="B78" s="427"/>
      <c r="C78" s="427"/>
      <c r="D78" s="427"/>
      <c r="E78" s="427"/>
      <c r="F78" s="427"/>
      <c r="G78" s="428"/>
      <c r="H78" s="88">
        <v>288</v>
      </c>
      <c r="I78" s="220">
        <f>SUM(I79:I82)</f>
        <v>0</v>
      </c>
      <c r="J78" s="220">
        <f>SUM(J79:J82)</f>
        <v>0</v>
      </c>
    </row>
    <row r="79" spans="1:10" s="2" customFormat="1" ht="14.1" customHeight="1" x14ac:dyDescent="0.2">
      <c r="A79" s="413" t="s">
        <v>1479</v>
      </c>
      <c r="B79" s="413"/>
      <c r="C79" s="413"/>
      <c r="D79" s="413"/>
      <c r="E79" s="413"/>
      <c r="F79" s="413"/>
      <c r="G79" s="426"/>
      <c r="H79" s="15">
        <v>289</v>
      </c>
      <c r="I79" s="73"/>
      <c r="J79" s="73"/>
    </row>
    <row r="80" spans="1:10" s="2" customFormat="1" ht="14.1" customHeight="1" x14ac:dyDescent="0.2">
      <c r="A80" s="413" t="s">
        <v>1480</v>
      </c>
      <c r="B80" s="413"/>
      <c r="C80" s="413"/>
      <c r="D80" s="413"/>
      <c r="E80" s="413"/>
      <c r="F80" s="413"/>
      <c r="G80" s="426"/>
      <c r="H80" s="15">
        <v>290</v>
      </c>
      <c r="I80" s="73"/>
      <c r="J80" s="73"/>
    </row>
    <row r="81" spans="1:16" s="2" customFormat="1" ht="14.1" customHeight="1" x14ac:dyDescent="0.2">
      <c r="A81" s="413" t="s">
        <v>201</v>
      </c>
      <c r="B81" s="413"/>
      <c r="C81" s="413"/>
      <c r="D81" s="413"/>
      <c r="E81" s="413"/>
      <c r="F81" s="413"/>
      <c r="G81" s="426"/>
      <c r="H81" s="15">
        <v>291</v>
      </c>
      <c r="I81" s="73"/>
      <c r="J81" s="73"/>
    </row>
    <row r="82" spans="1:16" s="2" customFormat="1" ht="36" customHeight="1" x14ac:dyDescent="0.2">
      <c r="A82" s="413" t="s">
        <v>204</v>
      </c>
      <c r="B82" s="413"/>
      <c r="C82" s="413"/>
      <c r="D82" s="413"/>
      <c r="E82" s="413"/>
      <c r="F82" s="413"/>
      <c r="G82" s="426"/>
      <c r="H82" s="15">
        <v>292</v>
      </c>
      <c r="I82" s="73"/>
      <c r="J82" s="73"/>
    </row>
    <row r="83" spans="1:16" s="2" customFormat="1" ht="14.1" customHeight="1" x14ac:dyDescent="0.2">
      <c r="A83" s="413" t="s">
        <v>202</v>
      </c>
      <c r="B83" s="413"/>
      <c r="C83" s="413"/>
      <c r="D83" s="413"/>
      <c r="E83" s="413"/>
      <c r="F83" s="413"/>
      <c r="G83" s="426"/>
      <c r="H83" s="15">
        <v>293</v>
      </c>
      <c r="I83" s="73"/>
      <c r="J83" s="73"/>
    </row>
    <row r="84" spans="1:16" s="2" customFormat="1" ht="14.1" customHeight="1" x14ac:dyDescent="0.2">
      <c r="A84" s="413" t="s">
        <v>203</v>
      </c>
      <c r="B84" s="413"/>
      <c r="C84" s="413"/>
      <c r="D84" s="413"/>
      <c r="E84" s="413"/>
      <c r="F84" s="413"/>
      <c r="G84" s="426"/>
      <c r="H84" s="15">
        <v>294</v>
      </c>
      <c r="I84" s="73"/>
      <c r="J84" s="73"/>
    </row>
    <row r="85" spans="1:16" s="2" customFormat="1" ht="24.95" customHeight="1" x14ac:dyDescent="0.2">
      <c r="A85" s="413" t="s">
        <v>2108</v>
      </c>
      <c r="B85" s="413"/>
      <c r="C85" s="413"/>
      <c r="D85" s="413"/>
      <c r="E85" s="413"/>
      <c r="F85" s="413"/>
      <c r="G85" s="426"/>
      <c r="H85" s="15">
        <v>295</v>
      </c>
      <c r="I85" s="73"/>
      <c r="J85" s="73"/>
    </row>
    <row r="86" spans="1:16" s="2" customFormat="1" ht="24.95" customHeight="1" x14ac:dyDescent="0.2">
      <c r="A86" s="425" t="s">
        <v>205</v>
      </c>
      <c r="B86" s="425"/>
      <c r="C86" s="425"/>
      <c r="D86" s="425"/>
      <c r="E86" s="425"/>
      <c r="F86" s="425"/>
      <c r="G86" s="432"/>
      <c r="H86" s="17">
        <v>296</v>
      </c>
      <c r="I86" s="74"/>
      <c r="J86" s="74"/>
    </row>
    <row r="87" spans="1:16" s="2" customFormat="1" ht="14.1" customHeight="1" x14ac:dyDescent="0.2">
      <c r="A87" s="429" t="s">
        <v>1478</v>
      </c>
      <c r="B87" s="430"/>
      <c r="C87" s="430"/>
      <c r="D87" s="430"/>
      <c r="E87" s="430"/>
      <c r="F87" s="430"/>
      <c r="G87" s="430"/>
      <c r="H87" s="430"/>
      <c r="I87" s="430"/>
      <c r="J87" s="431"/>
    </row>
    <row r="88" spans="1:16" s="2" customFormat="1" ht="36" customHeight="1" x14ac:dyDescent="0.2">
      <c r="A88" s="435" t="s">
        <v>206</v>
      </c>
      <c r="B88" s="435"/>
      <c r="C88" s="435"/>
      <c r="D88" s="435"/>
      <c r="E88" s="435"/>
      <c r="F88" s="435"/>
      <c r="G88" s="436"/>
      <c r="H88" s="91">
        <v>297</v>
      </c>
      <c r="I88" s="92"/>
      <c r="J88" s="92"/>
      <c r="M88" s="84"/>
    </row>
    <row r="89" spans="1:16" ht="5.0999999999999996" customHeight="1" x14ac:dyDescent="0.2">
      <c r="O89" s="2"/>
      <c r="P89" s="2"/>
    </row>
  </sheetData>
  <sheetProtection password="C79A" sheet="1" objects="1" scenarios="1"/>
  <mergeCells count="87">
    <mergeCell ref="A15:G15"/>
    <mergeCell ref="J2:J3"/>
    <mergeCell ref="A7:G7"/>
    <mergeCell ref="A5:J5"/>
    <mergeCell ref="A6:G6"/>
    <mergeCell ref="A12:G12"/>
    <mergeCell ref="A13:G13"/>
    <mergeCell ref="A14:G14"/>
    <mergeCell ref="A2:I2"/>
    <mergeCell ref="A3:I3"/>
    <mergeCell ref="A16:J16"/>
    <mergeCell ref="A17:G17"/>
    <mergeCell ref="A18:G18"/>
    <mergeCell ref="A46:G46"/>
    <mergeCell ref="A44:G44"/>
    <mergeCell ref="A45:G45"/>
    <mergeCell ref="A23:G23"/>
    <mergeCell ref="A21:G21"/>
    <mergeCell ref="A24:J24"/>
    <mergeCell ref="A35:G35"/>
    <mergeCell ref="A19:G19"/>
    <mergeCell ref="A20:G20"/>
    <mergeCell ref="A30:G30"/>
    <mergeCell ref="A31:G31"/>
    <mergeCell ref="A28:G28"/>
    <mergeCell ref="A29:G29"/>
    <mergeCell ref="A26:G26"/>
    <mergeCell ref="A27:G27"/>
    <mergeCell ref="A22:J22"/>
    <mergeCell ref="A25:G25"/>
    <mergeCell ref="A39:J39"/>
    <mergeCell ref="A37:G37"/>
    <mergeCell ref="A32:G32"/>
    <mergeCell ref="A33:G33"/>
    <mergeCell ref="A54:G54"/>
    <mergeCell ref="A55:G55"/>
    <mergeCell ref="A42:G42"/>
    <mergeCell ref="A43:G43"/>
    <mergeCell ref="A40:G40"/>
    <mergeCell ref="A38:G38"/>
    <mergeCell ref="A41:J41"/>
    <mergeCell ref="A36:J36"/>
    <mergeCell ref="A50:G50"/>
    <mergeCell ref="A48:J48"/>
    <mergeCell ref="A34:G34"/>
    <mergeCell ref="A66:G66"/>
    <mergeCell ref="A59:G59"/>
    <mergeCell ref="A60:G60"/>
    <mergeCell ref="A51:G51"/>
    <mergeCell ref="A52:G52"/>
    <mergeCell ref="A56:G56"/>
    <mergeCell ref="A53:G53"/>
    <mergeCell ref="A88:G88"/>
    <mergeCell ref="A71:G71"/>
    <mergeCell ref="A79:G79"/>
    <mergeCell ref="A80:G80"/>
    <mergeCell ref="A78:G78"/>
    <mergeCell ref="A76:G76"/>
    <mergeCell ref="A74:G74"/>
    <mergeCell ref="A75:G75"/>
    <mergeCell ref="A87:J87"/>
    <mergeCell ref="A86:G86"/>
    <mergeCell ref="A65:G65"/>
    <mergeCell ref="A8:J8"/>
    <mergeCell ref="A9:G9"/>
    <mergeCell ref="A10:G10"/>
    <mergeCell ref="A11:G11"/>
    <mergeCell ref="A61:G61"/>
    <mergeCell ref="A47:G47"/>
    <mergeCell ref="A57:G57"/>
    <mergeCell ref="A58:G58"/>
    <mergeCell ref="A49:G49"/>
    <mergeCell ref="A62:G62"/>
    <mergeCell ref="A63:G63"/>
    <mergeCell ref="A77:J77"/>
    <mergeCell ref="A73:G73"/>
    <mergeCell ref="A69:G69"/>
    <mergeCell ref="A70:G70"/>
    <mergeCell ref="A72:J72"/>
    <mergeCell ref="A64:G64"/>
    <mergeCell ref="A68:G68"/>
    <mergeCell ref="A67:G67"/>
    <mergeCell ref="A85:G85"/>
    <mergeCell ref="A83:G83"/>
    <mergeCell ref="A84:G84"/>
    <mergeCell ref="A81:G81"/>
    <mergeCell ref="A82:G82"/>
  </mergeCells>
  <phoneticPr fontId="3" type="noConversion"/>
  <conditionalFormatting sqref="I9:J15 I17:J21 I23:J23 I25:J35 I37:J38 I40:J40 I42:J47 I78:J86 I73:J76 I88:J88 I49:J67 I71:J71">
    <cfRule type="cellIs" dxfId="15" priority="1" stopIfTrue="1" operator="notEqual">
      <formula>ROUND(I9,0)</formula>
    </cfRule>
    <cfRule type="cellIs" dxfId="14" priority="2" stopIfTrue="1" operator="lessThan">
      <formula>0</formula>
    </cfRule>
  </conditionalFormatting>
  <conditionalFormatting sqref="I68:J70">
    <cfRule type="cellIs" dxfId="13" priority="3" stopIfTrue="1" operator="notEqual">
      <formula>ROUND(I68,0)</formula>
    </cfRule>
  </conditionalFormatting>
  <dataValidations count="3">
    <dataValidation type="whole" operator="greaterThanOrEqual" allowBlank="1" showInputMessage="1" showErrorMessage="1" errorTitle="Pogrešan unos" error="Dopušten je unos samo cjelobrojnih pozitivnih vrijednosti (ili nule)" sqref="I88:J88 I10:J15 I73:J76 I78:J86 I42:J47 I40:J40 I37:J38 I25:J35 I23:J23 I17:J21 I49:J67 I71:J71">
      <formula1>0</formula1>
    </dataValidation>
    <dataValidation type="whole" operator="greaterThanOrEqual" allowBlank="1" showInputMessage="1" showErrorMessage="1" errorTitle="Pogrešan unos" error="Dopušten je unos samo cjelobrojnih pozitivnih vrijednosti ili nule" sqref="I9:J9">
      <formula1>0</formula1>
    </dataValidation>
    <dataValidation type="whole" operator="notEqual" allowBlank="1" showInputMessage="1" showErrorMessage="1" errorTitle="Pogrešan unos" error="Dopušten je unos samo cjelobrojnih vrijednosti (ili nule)" sqref="I68:J70">
      <formula1>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scale="97" fitToHeight="0"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pageSetUpPr fitToPage="1"/>
  </sheetPr>
  <dimension ref="A1:R62"/>
  <sheetViews>
    <sheetView showGridLines="0" showRowColHeaders="0" workbookViewId="0">
      <pane ySplit="1" topLeftCell="A2" activePane="bottomLeft" state="frozen"/>
      <selection pane="bottomLeft"/>
    </sheetView>
  </sheetViews>
  <sheetFormatPr defaultColWidth="0" defaultRowHeight="12" zeroHeight="1" x14ac:dyDescent="0.2"/>
  <cols>
    <col min="1" max="6" width="11.7109375" style="78" customWidth="1"/>
    <col min="7" max="8" width="5.7109375" style="78" customWidth="1"/>
    <col min="9" max="10" width="14.7109375" style="78" customWidth="1"/>
    <col min="11" max="11" width="0.85546875" style="78" customWidth="1"/>
    <col min="12" max="16384" width="9.140625" style="78" hidden="1"/>
  </cols>
  <sheetData>
    <row r="1" spans="1:18" ht="24.95" customHeight="1" thickBot="1" x14ac:dyDescent="0.25">
      <c r="A1" s="139" t="s">
        <v>57</v>
      </c>
      <c r="B1" s="63" t="s">
        <v>56</v>
      </c>
      <c r="C1" s="63" t="s">
        <v>59</v>
      </c>
      <c r="D1" s="63" t="s">
        <v>2328</v>
      </c>
      <c r="E1" s="63" t="s">
        <v>794</v>
      </c>
      <c r="F1" s="63" t="s">
        <v>2824</v>
      </c>
      <c r="G1" s="63" t="s">
        <v>2748</v>
      </c>
      <c r="H1" s="63" t="s">
        <v>2749</v>
      </c>
      <c r="I1" s="63" t="s">
        <v>795</v>
      </c>
      <c r="J1" s="64" t="s">
        <v>58</v>
      </c>
      <c r="Q1" s="70">
        <f>IF(OR(MIN(I8:J60)&lt;0,MAX(I8:J60)&gt;0),1,0)</f>
        <v>0</v>
      </c>
      <c r="R1" s="69" t="s">
        <v>792</v>
      </c>
    </row>
    <row r="2" spans="1:18" s="2" customFormat="1" ht="20.100000000000001" customHeight="1" x14ac:dyDescent="0.2">
      <c r="A2" s="447" t="s">
        <v>1102</v>
      </c>
      <c r="B2" s="448"/>
      <c r="C2" s="448"/>
      <c r="D2" s="448"/>
      <c r="E2" s="448"/>
      <c r="F2" s="448"/>
      <c r="G2" s="448"/>
      <c r="H2" s="448"/>
      <c r="I2" s="453"/>
      <c r="J2" s="389" t="s">
        <v>1212</v>
      </c>
      <c r="Q2" s="70">
        <f>IF(OR(MIN(I8:I60)&lt;0,MAX(I8:I60)&gt;0),1,0)</f>
        <v>0</v>
      </c>
      <c r="R2" s="69" t="s">
        <v>1204</v>
      </c>
    </row>
    <row r="3" spans="1:18" s="2" customFormat="1" ht="20.100000000000001" customHeight="1" thickBot="1" x14ac:dyDescent="0.25">
      <c r="A3" s="450" t="str">
        <f xml:space="preserve"> "u razdoblju " &amp; IF(RefStr!C4&lt;&gt;"", TEXT(RefStr!C4, "DD.MM.YYYY."), "__.__.____.") &amp; " do " &amp; IF(RefStr!F4&lt;&gt;"", TEXT(RefStr!F4, "DD.MM.YYYY."),"__.__.____.")</f>
        <v>u razdoblju 01.01.2021. do 31.12.2021.</v>
      </c>
      <c r="B3" s="451"/>
      <c r="C3" s="451"/>
      <c r="D3" s="451"/>
      <c r="E3" s="451"/>
      <c r="F3" s="451"/>
      <c r="G3" s="451"/>
      <c r="H3" s="451"/>
      <c r="I3" s="454"/>
      <c r="J3" s="437"/>
      <c r="Q3" s="70">
        <f>IF(OR(MIN(J8:J60)&lt;0,MAX(J8:J60)&gt;0),1,0)</f>
        <v>0</v>
      </c>
      <c r="R3" s="69" t="s">
        <v>1205</v>
      </c>
    </row>
    <row r="4" spans="1:18" s="2" customFormat="1" ht="5.0999999999999996" customHeight="1" x14ac:dyDescent="0.2">
      <c r="A4" s="112"/>
      <c r="B4" s="85"/>
      <c r="C4" s="85"/>
      <c r="D4" s="85"/>
      <c r="E4" s="85"/>
      <c r="F4" s="85"/>
      <c r="G4" s="85"/>
      <c r="H4" s="85"/>
      <c r="I4" s="86"/>
    </row>
    <row r="5" spans="1:18" s="2" customFormat="1" ht="15" customHeight="1" x14ac:dyDescent="0.2">
      <c r="A5" s="397" t="str">
        <f>"Obveznik: "&amp;IF(RefStr!C27&lt;&gt;"",RefStr!C27,"________") &amp; "; " &amp; IF(RefStr!C29&lt;&gt;"",RefStr!C29,"________________________________________________________"&amp;"; "&amp;IF(RefStr!F31&lt;&gt;"",RefStr!F31,"_______________"))</f>
        <v>Obveznik: 50327992893; POSLOVNI SUSTAVI d.o.o. RIJEKA</v>
      </c>
      <c r="B5" s="398"/>
      <c r="C5" s="398"/>
      <c r="D5" s="398"/>
      <c r="E5" s="398"/>
      <c r="F5" s="398"/>
      <c r="G5" s="398"/>
      <c r="H5" s="398"/>
      <c r="I5" s="398"/>
      <c r="J5" s="399"/>
    </row>
    <row r="6" spans="1:18" s="2" customFormat="1" ht="24.75" customHeight="1" thickBot="1" x14ac:dyDescent="0.25">
      <c r="A6" s="455" t="s">
        <v>955</v>
      </c>
      <c r="B6" s="456"/>
      <c r="C6" s="456"/>
      <c r="D6" s="456"/>
      <c r="E6" s="456"/>
      <c r="F6" s="456"/>
      <c r="G6" s="94" t="s">
        <v>633</v>
      </c>
      <c r="H6" s="98" t="s">
        <v>2275</v>
      </c>
      <c r="I6" s="94" t="s">
        <v>19</v>
      </c>
      <c r="J6" s="95" t="s">
        <v>20</v>
      </c>
    </row>
    <row r="7" spans="1:18" s="2" customFormat="1" ht="14.1" customHeight="1" x14ac:dyDescent="0.2">
      <c r="A7" s="457">
        <v>1</v>
      </c>
      <c r="B7" s="458"/>
      <c r="C7" s="458"/>
      <c r="D7" s="458"/>
      <c r="E7" s="458"/>
      <c r="F7" s="458"/>
      <c r="G7" s="113">
        <v>2</v>
      </c>
      <c r="H7" s="114">
        <v>3</v>
      </c>
      <c r="I7" s="115">
        <v>4</v>
      </c>
      <c r="J7" s="116">
        <v>5</v>
      </c>
    </row>
    <row r="8" spans="1:18" s="2" customFormat="1" ht="15" customHeight="1" x14ac:dyDescent="0.2">
      <c r="A8" s="429" t="s">
        <v>207</v>
      </c>
      <c r="B8" s="430"/>
      <c r="C8" s="430"/>
      <c r="D8" s="430"/>
      <c r="E8" s="430"/>
      <c r="F8" s="430"/>
      <c r="G8" s="430"/>
      <c r="H8" s="430"/>
      <c r="I8" s="430"/>
      <c r="J8" s="431"/>
    </row>
    <row r="9" spans="1:18" s="2" customFormat="1" ht="14.1" customHeight="1" x14ac:dyDescent="0.2">
      <c r="A9" s="427" t="s">
        <v>208</v>
      </c>
      <c r="B9" s="427"/>
      <c r="C9" s="427"/>
      <c r="D9" s="427"/>
      <c r="E9" s="427"/>
      <c r="F9" s="427"/>
      <c r="G9" s="88">
        <v>1</v>
      </c>
      <c r="H9" s="120"/>
      <c r="I9" s="138"/>
      <c r="J9" s="138"/>
    </row>
    <row r="10" spans="1:18" s="2" customFormat="1" ht="14.1" customHeight="1" x14ac:dyDescent="0.2">
      <c r="A10" s="413" t="s">
        <v>71</v>
      </c>
      <c r="B10" s="413"/>
      <c r="C10" s="413"/>
      <c r="D10" s="413"/>
      <c r="E10" s="413"/>
      <c r="F10" s="413"/>
      <c r="G10" s="15">
        <v>2</v>
      </c>
      <c r="H10" s="19"/>
      <c r="I10" s="121">
        <f>SUM(I11:I18)</f>
        <v>0</v>
      </c>
      <c r="J10" s="121">
        <f>SUM(J11:J18)</f>
        <v>0</v>
      </c>
    </row>
    <row r="11" spans="1:18" s="2" customFormat="1" ht="14.1" customHeight="1" x14ac:dyDescent="0.2">
      <c r="A11" s="433" t="s">
        <v>1543</v>
      </c>
      <c r="B11" s="433"/>
      <c r="C11" s="433"/>
      <c r="D11" s="433"/>
      <c r="E11" s="433"/>
      <c r="F11" s="433"/>
      <c r="G11" s="15">
        <v>3</v>
      </c>
      <c r="H11" s="19"/>
      <c r="I11" s="122"/>
      <c r="J11" s="122"/>
      <c r="L11" s="2" t="s">
        <v>2525</v>
      </c>
    </row>
    <row r="12" spans="1:18" s="2" customFormat="1" ht="24.95" customHeight="1" x14ac:dyDescent="0.2">
      <c r="A12" s="433" t="s">
        <v>2441</v>
      </c>
      <c r="B12" s="433"/>
      <c r="C12" s="433"/>
      <c r="D12" s="433"/>
      <c r="E12" s="433"/>
      <c r="F12" s="433"/>
      <c r="G12" s="15">
        <v>4</v>
      </c>
      <c r="H12" s="19"/>
      <c r="I12" s="122"/>
      <c r="J12" s="122"/>
    </row>
    <row r="13" spans="1:18" s="2" customFormat="1" ht="24.95" customHeight="1" x14ac:dyDescent="0.2">
      <c r="A13" s="433" t="s">
        <v>2442</v>
      </c>
      <c r="B13" s="433"/>
      <c r="C13" s="433"/>
      <c r="D13" s="433"/>
      <c r="E13" s="433"/>
      <c r="F13" s="433"/>
      <c r="G13" s="15">
        <v>5</v>
      </c>
      <c r="H13" s="19"/>
      <c r="I13" s="122"/>
      <c r="J13" s="122"/>
    </row>
    <row r="14" spans="1:18" s="2" customFormat="1" ht="14.1" customHeight="1" x14ac:dyDescent="0.2">
      <c r="A14" s="433" t="s">
        <v>1544</v>
      </c>
      <c r="B14" s="433"/>
      <c r="C14" s="433"/>
      <c r="D14" s="433"/>
      <c r="E14" s="433"/>
      <c r="F14" s="433"/>
      <c r="G14" s="15">
        <v>6</v>
      </c>
      <c r="H14" s="19"/>
      <c r="I14" s="122"/>
      <c r="J14" s="122"/>
      <c r="L14" s="2" t="s">
        <v>1209</v>
      </c>
    </row>
    <row r="15" spans="1:18" s="2" customFormat="1" ht="14.1" customHeight="1" x14ac:dyDescent="0.2">
      <c r="A15" s="433" t="s">
        <v>1545</v>
      </c>
      <c r="B15" s="433"/>
      <c r="C15" s="433"/>
      <c r="D15" s="433"/>
      <c r="E15" s="433"/>
      <c r="F15" s="433"/>
      <c r="G15" s="15">
        <v>7</v>
      </c>
      <c r="H15" s="19"/>
      <c r="I15" s="122"/>
      <c r="J15" s="122"/>
      <c r="L15" s="2" t="s">
        <v>2525</v>
      </c>
    </row>
    <row r="16" spans="1:18" s="2" customFormat="1" ht="14.1" customHeight="1" x14ac:dyDescent="0.2">
      <c r="A16" s="433" t="s">
        <v>1546</v>
      </c>
      <c r="B16" s="433"/>
      <c r="C16" s="433"/>
      <c r="D16" s="433"/>
      <c r="E16" s="433"/>
      <c r="F16" s="433"/>
      <c r="G16" s="15">
        <v>8</v>
      </c>
      <c r="H16" s="19"/>
      <c r="I16" s="122"/>
      <c r="J16" s="122"/>
    </row>
    <row r="17" spans="1:14" s="2" customFormat="1" ht="14.1" customHeight="1" x14ac:dyDescent="0.2">
      <c r="A17" s="433" t="s">
        <v>1547</v>
      </c>
      <c r="B17" s="433"/>
      <c r="C17" s="433"/>
      <c r="D17" s="433"/>
      <c r="E17" s="433"/>
      <c r="F17" s="433"/>
      <c r="G17" s="15">
        <v>9</v>
      </c>
      <c r="H17" s="19"/>
      <c r="I17" s="122"/>
      <c r="J17" s="122"/>
    </row>
    <row r="18" spans="1:14" s="2" customFormat="1" ht="14.1" customHeight="1" x14ac:dyDescent="0.2">
      <c r="A18" s="433" t="s">
        <v>2440</v>
      </c>
      <c r="B18" s="433"/>
      <c r="C18" s="433"/>
      <c r="D18" s="433"/>
      <c r="E18" s="433"/>
      <c r="F18" s="433"/>
      <c r="G18" s="15">
        <v>10</v>
      </c>
      <c r="H18" s="19"/>
      <c r="I18" s="122"/>
      <c r="J18" s="122"/>
    </row>
    <row r="19" spans="1:14" s="2" customFormat="1" ht="24.95" customHeight="1" x14ac:dyDescent="0.2">
      <c r="A19" s="408" t="s">
        <v>2439</v>
      </c>
      <c r="B19" s="408"/>
      <c r="C19" s="408"/>
      <c r="D19" s="408"/>
      <c r="E19" s="408"/>
      <c r="F19" s="408"/>
      <c r="G19" s="15">
        <v>11</v>
      </c>
      <c r="H19" s="19"/>
      <c r="I19" s="121">
        <f>I9+I10</f>
        <v>0</v>
      </c>
      <c r="J19" s="121">
        <f>J9+J10</f>
        <v>0</v>
      </c>
      <c r="N19" s="2">
        <f>IF(MIN(NT_I!I11:J11,NT_I!I15:J15,NT_I!I30:J36,NT_I!I59:J60)&lt;0,1,0)</f>
        <v>0</v>
      </c>
    </row>
    <row r="20" spans="1:14" s="2" customFormat="1" ht="14.1" customHeight="1" x14ac:dyDescent="0.2">
      <c r="A20" s="413" t="s">
        <v>21</v>
      </c>
      <c r="B20" s="413"/>
      <c r="C20" s="413"/>
      <c r="D20" s="413"/>
      <c r="E20" s="413"/>
      <c r="F20" s="413"/>
      <c r="G20" s="15">
        <v>12</v>
      </c>
      <c r="H20" s="19"/>
      <c r="I20" s="121">
        <f>SUM(I21:I24)</f>
        <v>0</v>
      </c>
      <c r="J20" s="121">
        <f>SUM(J21:J24)</f>
        <v>0</v>
      </c>
    </row>
    <row r="21" spans="1:14" s="2" customFormat="1" ht="14.1" customHeight="1" x14ac:dyDescent="0.2">
      <c r="A21" s="433" t="s">
        <v>2353</v>
      </c>
      <c r="B21" s="433"/>
      <c r="C21" s="433"/>
      <c r="D21" s="433"/>
      <c r="E21" s="433"/>
      <c r="F21" s="433"/>
      <c r="G21" s="15">
        <v>13</v>
      </c>
      <c r="H21" s="19"/>
      <c r="I21" s="122"/>
      <c r="J21" s="122"/>
    </row>
    <row r="22" spans="1:14" s="2" customFormat="1" ht="14.1" customHeight="1" x14ac:dyDescent="0.2">
      <c r="A22" s="433" t="s">
        <v>2354</v>
      </c>
      <c r="B22" s="433"/>
      <c r="C22" s="433"/>
      <c r="D22" s="433"/>
      <c r="E22" s="433"/>
      <c r="F22" s="433"/>
      <c r="G22" s="15">
        <v>14</v>
      </c>
      <c r="H22" s="19"/>
      <c r="I22" s="122"/>
      <c r="J22" s="122"/>
    </row>
    <row r="23" spans="1:14" s="2" customFormat="1" ht="14.1" customHeight="1" x14ac:dyDescent="0.2">
      <c r="A23" s="433" t="s">
        <v>2355</v>
      </c>
      <c r="B23" s="433"/>
      <c r="C23" s="433"/>
      <c r="D23" s="433"/>
      <c r="E23" s="433"/>
      <c r="F23" s="433"/>
      <c r="G23" s="15">
        <v>15</v>
      </c>
      <c r="H23" s="19"/>
      <c r="I23" s="122"/>
      <c r="J23" s="122"/>
    </row>
    <row r="24" spans="1:14" s="2" customFormat="1" ht="14.1" customHeight="1" x14ac:dyDescent="0.2">
      <c r="A24" s="433" t="s">
        <v>2356</v>
      </c>
      <c r="B24" s="433"/>
      <c r="C24" s="433"/>
      <c r="D24" s="433"/>
      <c r="E24" s="433"/>
      <c r="F24" s="433"/>
      <c r="G24" s="15">
        <v>16</v>
      </c>
      <c r="H24" s="19"/>
      <c r="I24" s="122"/>
      <c r="J24" s="122"/>
    </row>
    <row r="25" spans="1:14" s="2" customFormat="1" ht="14.1" customHeight="1" x14ac:dyDescent="0.2">
      <c r="A25" s="408" t="s">
        <v>2936</v>
      </c>
      <c r="B25" s="408"/>
      <c r="C25" s="408"/>
      <c r="D25" s="408"/>
      <c r="E25" s="408"/>
      <c r="F25" s="408"/>
      <c r="G25" s="15">
        <v>17</v>
      </c>
      <c r="H25" s="19"/>
      <c r="I25" s="121">
        <f>I19+I20</f>
        <v>0</v>
      </c>
      <c r="J25" s="121">
        <f>J19+J20</f>
        <v>0</v>
      </c>
    </row>
    <row r="26" spans="1:14" s="2" customFormat="1" ht="14.1" customHeight="1" x14ac:dyDescent="0.2">
      <c r="A26" s="413" t="s">
        <v>1787</v>
      </c>
      <c r="B26" s="413"/>
      <c r="C26" s="413"/>
      <c r="D26" s="413"/>
      <c r="E26" s="413"/>
      <c r="F26" s="413"/>
      <c r="G26" s="15">
        <v>18</v>
      </c>
      <c r="H26" s="19"/>
      <c r="I26" s="122"/>
      <c r="J26" s="122"/>
      <c r="L26" s="2" t="s">
        <v>1209</v>
      </c>
    </row>
    <row r="27" spans="1:14" s="2" customFormat="1" ht="14.1" customHeight="1" x14ac:dyDescent="0.2">
      <c r="A27" s="413" t="s">
        <v>1788</v>
      </c>
      <c r="B27" s="413"/>
      <c r="C27" s="413"/>
      <c r="D27" s="413"/>
      <c r="E27" s="413"/>
      <c r="F27" s="413"/>
      <c r="G27" s="15">
        <v>19</v>
      </c>
      <c r="H27" s="19"/>
      <c r="I27" s="122"/>
      <c r="J27" s="122"/>
    </row>
    <row r="28" spans="1:14" s="2" customFormat="1" ht="14.1" customHeight="1" x14ac:dyDescent="0.2">
      <c r="A28" s="459" t="s">
        <v>70</v>
      </c>
      <c r="B28" s="459"/>
      <c r="C28" s="459"/>
      <c r="D28" s="459"/>
      <c r="E28" s="459"/>
      <c r="F28" s="459"/>
      <c r="G28" s="17">
        <v>20</v>
      </c>
      <c r="H28" s="20"/>
      <c r="I28" s="123">
        <f>SUM(I25:I27)</f>
        <v>0</v>
      </c>
      <c r="J28" s="123">
        <f>SUM(J25:J27)</f>
        <v>0</v>
      </c>
    </row>
    <row r="29" spans="1:14" s="2" customFormat="1" ht="15" customHeight="1" x14ac:dyDescent="0.2">
      <c r="A29" s="429" t="s">
        <v>2357</v>
      </c>
      <c r="B29" s="430"/>
      <c r="C29" s="430"/>
      <c r="D29" s="430"/>
      <c r="E29" s="430"/>
      <c r="F29" s="430"/>
      <c r="G29" s="430"/>
      <c r="H29" s="430"/>
      <c r="I29" s="430"/>
      <c r="J29" s="431"/>
    </row>
    <row r="30" spans="1:14" s="2" customFormat="1" ht="14.1" customHeight="1" x14ac:dyDescent="0.2">
      <c r="A30" s="427" t="s">
        <v>61</v>
      </c>
      <c r="B30" s="427"/>
      <c r="C30" s="427"/>
      <c r="D30" s="427"/>
      <c r="E30" s="427"/>
      <c r="F30" s="427"/>
      <c r="G30" s="88">
        <v>21</v>
      </c>
      <c r="H30" s="120"/>
      <c r="I30" s="90"/>
      <c r="J30" s="90"/>
      <c r="L30" s="2" t="s">
        <v>2525</v>
      </c>
    </row>
    <row r="31" spans="1:14" s="2" customFormat="1" ht="14.1" customHeight="1" x14ac:dyDescent="0.2">
      <c r="A31" s="413" t="s">
        <v>62</v>
      </c>
      <c r="B31" s="413"/>
      <c r="C31" s="413"/>
      <c r="D31" s="413"/>
      <c r="E31" s="413"/>
      <c r="F31" s="413"/>
      <c r="G31" s="15">
        <v>22</v>
      </c>
      <c r="H31" s="19"/>
      <c r="I31" s="73"/>
      <c r="J31" s="73"/>
      <c r="L31" s="2" t="s">
        <v>2525</v>
      </c>
    </row>
    <row r="32" spans="1:14" s="2" customFormat="1" ht="14.1" customHeight="1" x14ac:dyDescent="0.2">
      <c r="A32" s="413" t="s">
        <v>63</v>
      </c>
      <c r="B32" s="413"/>
      <c r="C32" s="413"/>
      <c r="D32" s="413"/>
      <c r="E32" s="413"/>
      <c r="F32" s="413"/>
      <c r="G32" s="15">
        <v>23</v>
      </c>
      <c r="H32" s="19"/>
      <c r="I32" s="73"/>
      <c r="J32" s="73"/>
      <c r="L32" s="2" t="s">
        <v>2525</v>
      </c>
    </row>
    <row r="33" spans="1:12" s="2" customFormat="1" ht="14.1" customHeight="1" x14ac:dyDescent="0.2">
      <c r="A33" s="413" t="s">
        <v>64</v>
      </c>
      <c r="B33" s="413"/>
      <c r="C33" s="413"/>
      <c r="D33" s="413"/>
      <c r="E33" s="413"/>
      <c r="F33" s="413"/>
      <c r="G33" s="15">
        <v>24</v>
      </c>
      <c r="H33" s="19"/>
      <c r="I33" s="73"/>
      <c r="J33" s="73"/>
      <c r="L33" s="2" t="s">
        <v>2525</v>
      </c>
    </row>
    <row r="34" spans="1:12" s="2" customFormat="1" ht="14.1" customHeight="1" x14ac:dyDescent="0.2">
      <c r="A34" s="413" t="s">
        <v>65</v>
      </c>
      <c r="B34" s="413"/>
      <c r="C34" s="413"/>
      <c r="D34" s="413"/>
      <c r="E34" s="413"/>
      <c r="F34" s="413"/>
      <c r="G34" s="15">
        <v>25</v>
      </c>
      <c r="H34" s="19"/>
      <c r="I34" s="73"/>
      <c r="J34" s="73"/>
      <c r="L34" s="2" t="s">
        <v>2525</v>
      </c>
    </row>
    <row r="35" spans="1:12" s="2" customFormat="1" ht="14.1" customHeight="1" x14ac:dyDescent="0.2">
      <c r="A35" s="413" t="s">
        <v>2358</v>
      </c>
      <c r="B35" s="413"/>
      <c r="C35" s="413"/>
      <c r="D35" s="413"/>
      <c r="E35" s="413"/>
      <c r="F35" s="413"/>
      <c r="G35" s="15">
        <v>26</v>
      </c>
      <c r="H35" s="19"/>
      <c r="I35" s="73"/>
      <c r="J35" s="73"/>
      <c r="L35" s="2" t="s">
        <v>2525</v>
      </c>
    </row>
    <row r="36" spans="1:12" s="2" customFormat="1" ht="14.1" customHeight="1" x14ac:dyDescent="0.2">
      <c r="A36" s="408" t="s">
        <v>2935</v>
      </c>
      <c r="B36" s="408"/>
      <c r="C36" s="408"/>
      <c r="D36" s="408"/>
      <c r="E36" s="408"/>
      <c r="F36" s="408"/>
      <c r="G36" s="15">
        <v>27</v>
      </c>
      <c r="H36" s="19"/>
      <c r="I36" s="82">
        <f>SUM(I30:I35)</f>
        <v>0</v>
      </c>
      <c r="J36" s="82">
        <f>SUM(J30:J35)</f>
        <v>0</v>
      </c>
      <c r="L36" s="2" t="s">
        <v>2525</v>
      </c>
    </row>
    <row r="37" spans="1:12" s="2" customFormat="1" ht="14.1" customHeight="1" x14ac:dyDescent="0.2">
      <c r="A37" s="413" t="s">
        <v>66</v>
      </c>
      <c r="B37" s="413"/>
      <c r="C37" s="413"/>
      <c r="D37" s="413"/>
      <c r="E37" s="413"/>
      <c r="F37" s="413"/>
      <c r="G37" s="15">
        <v>28</v>
      </c>
      <c r="H37" s="19"/>
      <c r="I37" s="73"/>
      <c r="J37" s="73"/>
      <c r="L37" s="2" t="s">
        <v>1209</v>
      </c>
    </row>
    <row r="38" spans="1:12" s="2" customFormat="1" ht="14.1" customHeight="1" x14ac:dyDescent="0.2">
      <c r="A38" s="413" t="s">
        <v>67</v>
      </c>
      <c r="B38" s="413"/>
      <c r="C38" s="413"/>
      <c r="D38" s="413"/>
      <c r="E38" s="413"/>
      <c r="F38" s="413"/>
      <c r="G38" s="15">
        <v>29</v>
      </c>
      <c r="H38" s="19"/>
      <c r="I38" s="73"/>
      <c r="J38" s="73"/>
      <c r="L38" s="2" t="s">
        <v>1209</v>
      </c>
    </row>
    <row r="39" spans="1:12" s="2" customFormat="1" ht="14.1" customHeight="1" x14ac:dyDescent="0.2">
      <c r="A39" s="413" t="s">
        <v>68</v>
      </c>
      <c r="B39" s="413"/>
      <c r="C39" s="413"/>
      <c r="D39" s="413"/>
      <c r="E39" s="413"/>
      <c r="F39" s="413"/>
      <c r="G39" s="15">
        <v>30</v>
      </c>
      <c r="H39" s="19"/>
      <c r="I39" s="73"/>
      <c r="J39" s="73"/>
      <c r="L39" s="2" t="s">
        <v>1209</v>
      </c>
    </row>
    <row r="40" spans="1:12" s="2" customFormat="1" ht="14.1" customHeight="1" x14ac:dyDescent="0.2">
      <c r="A40" s="413" t="s">
        <v>69</v>
      </c>
      <c r="B40" s="413"/>
      <c r="C40" s="413"/>
      <c r="D40" s="413"/>
      <c r="E40" s="413"/>
      <c r="F40" s="413"/>
      <c r="G40" s="15">
        <v>31</v>
      </c>
      <c r="H40" s="19"/>
      <c r="I40" s="73"/>
      <c r="J40" s="73"/>
    </row>
    <row r="41" spans="1:12" s="2" customFormat="1" ht="14.1" customHeight="1" x14ac:dyDescent="0.2">
      <c r="A41" s="413" t="s">
        <v>2359</v>
      </c>
      <c r="B41" s="413"/>
      <c r="C41" s="413"/>
      <c r="D41" s="413"/>
      <c r="E41" s="413"/>
      <c r="F41" s="413"/>
      <c r="G41" s="15">
        <v>32</v>
      </c>
      <c r="H41" s="19"/>
      <c r="I41" s="73"/>
      <c r="J41" s="73"/>
      <c r="L41" s="2" t="s">
        <v>1209</v>
      </c>
    </row>
    <row r="42" spans="1:12" s="2" customFormat="1" ht="14.1" customHeight="1" x14ac:dyDescent="0.2">
      <c r="A42" s="408" t="s">
        <v>2807</v>
      </c>
      <c r="B42" s="408"/>
      <c r="C42" s="408"/>
      <c r="D42" s="408"/>
      <c r="E42" s="408"/>
      <c r="F42" s="408"/>
      <c r="G42" s="15">
        <v>33</v>
      </c>
      <c r="H42" s="19"/>
      <c r="I42" s="82">
        <f>SUM(I37:I41)</f>
        <v>0</v>
      </c>
      <c r="J42" s="82">
        <f>SUM(J37:J41)</f>
        <v>0</v>
      </c>
      <c r="L42" s="2" t="s">
        <v>1209</v>
      </c>
    </row>
    <row r="43" spans="1:12" s="2" customFormat="1" ht="14.1" customHeight="1" x14ac:dyDescent="0.2">
      <c r="A43" s="459" t="s">
        <v>2923</v>
      </c>
      <c r="B43" s="459"/>
      <c r="C43" s="459"/>
      <c r="D43" s="459"/>
      <c r="E43" s="459"/>
      <c r="F43" s="459"/>
      <c r="G43" s="17">
        <v>34</v>
      </c>
      <c r="H43" s="20"/>
      <c r="I43" s="83">
        <f>I36+I42</f>
        <v>0</v>
      </c>
      <c r="J43" s="83">
        <f>J36+J42</f>
        <v>0</v>
      </c>
    </row>
    <row r="44" spans="1:12" s="2" customFormat="1" ht="15" customHeight="1" x14ac:dyDescent="0.2">
      <c r="A44" s="429" t="s">
        <v>2808</v>
      </c>
      <c r="B44" s="430"/>
      <c r="C44" s="430"/>
      <c r="D44" s="430"/>
      <c r="E44" s="430"/>
      <c r="F44" s="430"/>
      <c r="G44" s="430"/>
      <c r="H44" s="430"/>
      <c r="I44" s="430"/>
      <c r="J44" s="431"/>
    </row>
    <row r="45" spans="1:12" s="2" customFormat="1" ht="14.1" customHeight="1" x14ac:dyDescent="0.2">
      <c r="A45" s="427" t="s">
        <v>2811</v>
      </c>
      <c r="B45" s="427"/>
      <c r="C45" s="427"/>
      <c r="D45" s="427"/>
      <c r="E45" s="427"/>
      <c r="F45" s="427"/>
      <c r="G45" s="88">
        <v>35</v>
      </c>
      <c r="H45" s="120"/>
      <c r="I45" s="90"/>
      <c r="J45" s="90"/>
      <c r="L45" s="2" t="s">
        <v>2525</v>
      </c>
    </row>
    <row r="46" spans="1:12" s="2" customFormat="1" ht="14.1" customHeight="1" x14ac:dyDescent="0.2">
      <c r="A46" s="413" t="s">
        <v>2812</v>
      </c>
      <c r="B46" s="413"/>
      <c r="C46" s="413"/>
      <c r="D46" s="413"/>
      <c r="E46" s="413"/>
      <c r="F46" s="413"/>
      <c r="G46" s="15">
        <v>36</v>
      </c>
      <c r="H46" s="19"/>
      <c r="I46" s="73"/>
      <c r="J46" s="73"/>
      <c r="L46" s="2" t="s">
        <v>2525</v>
      </c>
    </row>
    <row r="47" spans="1:12" s="2" customFormat="1" ht="14.1" customHeight="1" x14ac:dyDescent="0.2">
      <c r="A47" s="413" t="s">
        <v>2813</v>
      </c>
      <c r="B47" s="413"/>
      <c r="C47" s="413"/>
      <c r="D47" s="413"/>
      <c r="E47" s="413"/>
      <c r="F47" s="413"/>
      <c r="G47" s="15">
        <v>37</v>
      </c>
      <c r="H47" s="19"/>
      <c r="I47" s="73"/>
      <c r="J47" s="73"/>
      <c r="L47" s="2" t="s">
        <v>2525</v>
      </c>
    </row>
    <row r="48" spans="1:12" s="2" customFormat="1" ht="14.1" customHeight="1" x14ac:dyDescent="0.2">
      <c r="A48" s="413" t="s">
        <v>2814</v>
      </c>
      <c r="B48" s="413"/>
      <c r="C48" s="413"/>
      <c r="D48" s="413"/>
      <c r="E48" s="413"/>
      <c r="F48" s="413"/>
      <c r="G48" s="15">
        <v>38</v>
      </c>
      <c r="H48" s="19"/>
      <c r="I48" s="73"/>
      <c r="J48" s="73"/>
      <c r="L48" s="2" t="s">
        <v>2525</v>
      </c>
    </row>
    <row r="49" spans="1:18" s="2" customFormat="1" ht="14.1" customHeight="1" x14ac:dyDescent="0.2">
      <c r="A49" s="408" t="s">
        <v>2934</v>
      </c>
      <c r="B49" s="408"/>
      <c r="C49" s="408"/>
      <c r="D49" s="408"/>
      <c r="E49" s="408"/>
      <c r="F49" s="408"/>
      <c r="G49" s="15">
        <v>39</v>
      </c>
      <c r="H49" s="19"/>
      <c r="I49" s="82">
        <f>SUM(I45:I48)</f>
        <v>0</v>
      </c>
      <c r="J49" s="82">
        <f>SUM(J45:J48)</f>
        <v>0</v>
      </c>
      <c r="L49" s="2" t="s">
        <v>2525</v>
      </c>
    </row>
    <row r="50" spans="1:18" s="2" customFormat="1" ht="24.95" customHeight="1" x14ac:dyDescent="0.2">
      <c r="A50" s="413" t="s">
        <v>2562</v>
      </c>
      <c r="B50" s="413"/>
      <c r="C50" s="413"/>
      <c r="D50" s="413"/>
      <c r="E50" s="413"/>
      <c r="F50" s="413"/>
      <c r="G50" s="15">
        <v>40</v>
      </c>
      <c r="H50" s="19"/>
      <c r="I50" s="73"/>
      <c r="J50" s="73"/>
      <c r="L50" s="2" t="s">
        <v>1209</v>
      </c>
    </row>
    <row r="51" spans="1:18" s="2" customFormat="1" ht="14.1" customHeight="1" x14ac:dyDescent="0.2">
      <c r="A51" s="413" t="s">
        <v>2229</v>
      </c>
      <c r="B51" s="413"/>
      <c r="C51" s="413"/>
      <c r="D51" s="413"/>
      <c r="E51" s="413"/>
      <c r="F51" s="413"/>
      <c r="G51" s="15">
        <v>41</v>
      </c>
      <c r="H51" s="19"/>
      <c r="I51" s="73"/>
      <c r="J51" s="73"/>
      <c r="L51" s="2" t="s">
        <v>1209</v>
      </c>
    </row>
    <row r="52" spans="1:18" s="2" customFormat="1" ht="14.1" customHeight="1" x14ac:dyDescent="0.2">
      <c r="A52" s="413" t="s">
        <v>2230</v>
      </c>
      <c r="B52" s="413"/>
      <c r="C52" s="413"/>
      <c r="D52" s="413"/>
      <c r="E52" s="413"/>
      <c r="F52" s="413"/>
      <c r="G52" s="15">
        <v>42</v>
      </c>
      <c r="H52" s="19"/>
      <c r="I52" s="73"/>
      <c r="J52" s="73"/>
      <c r="L52" s="2" t="s">
        <v>1209</v>
      </c>
    </row>
    <row r="53" spans="1:18" s="2" customFormat="1" ht="14.1" customHeight="1" x14ac:dyDescent="0.2">
      <c r="A53" s="413" t="s">
        <v>2563</v>
      </c>
      <c r="B53" s="413"/>
      <c r="C53" s="413"/>
      <c r="D53" s="413"/>
      <c r="E53" s="413"/>
      <c r="F53" s="413"/>
      <c r="G53" s="15">
        <v>43</v>
      </c>
      <c r="H53" s="19"/>
      <c r="I53" s="73"/>
      <c r="J53" s="73"/>
      <c r="L53" s="2" t="s">
        <v>1209</v>
      </c>
    </row>
    <row r="54" spans="1:18" s="2" customFormat="1" ht="14.1" customHeight="1" x14ac:dyDescent="0.2">
      <c r="A54" s="413" t="s">
        <v>2443</v>
      </c>
      <c r="B54" s="413"/>
      <c r="C54" s="413"/>
      <c r="D54" s="413"/>
      <c r="E54" s="413"/>
      <c r="F54" s="413"/>
      <c r="G54" s="15">
        <v>44</v>
      </c>
      <c r="H54" s="19"/>
      <c r="I54" s="73"/>
      <c r="J54" s="73"/>
      <c r="L54" s="2" t="s">
        <v>1209</v>
      </c>
    </row>
    <row r="55" spans="1:18" s="2" customFormat="1" ht="14.1" customHeight="1" x14ac:dyDescent="0.2">
      <c r="A55" s="408" t="s">
        <v>2444</v>
      </c>
      <c r="B55" s="408"/>
      <c r="C55" s="408"/>
      <c r="D55" s="408"/>
      <c r="E55" s="408"/>
      <c r="F55" s="408"/>
      <c r="G55" s="15">
        <v>45</v>
      </c>
      <c r="H55" s="19"/>
      <c r="I55" s="82">
        <f>SUM(I50:I54)</f>
        <v>0</v>
      </c>
      <c r="J55" s="82">
        <f>SUM(J50:J54)</f>
        <v>0</v>
      </c>
      <c r="L55" s="2" t="s">
        <v>1209</v>
      </c>
    </row>
    <row r="56" spans="1:18" s="2" customFormat="1" ht="14.1" customHeight="1" x14ac:dyDescent="0.2">
      <c r="A56" s="410" t="s">
        <v>209</v>
      </c>
      <c r="B56" s="410"/>
      <c r="C56" s="410"/>
      <c r="D56" s="410"/>
      <c r="E56" s="410"/>
      <c r="F56" s="410"/>
      <c r="G56" s="15">
        <v>46</v>
      </c>
      <c r="H56" s="19"/>
      <c r="I56" s="82">
        <f>I49+I55</f>
        <v>0</v>
      </c>
      <c r="J56" s="82">
        <f>J49+J55</f>
        <v>0</v>
      </c>
    </row>
    <row r="57" spans="1:18" s="2" customFormat="1" ht="14.1" customHeight="1" x14ac:dyDescent="0.2">
      <c r="A57" s="385" t="s">
        <v>2809</v>
      </c>
      <c r="B57" s="385"/>
      <c r="C57" s="385"/>
      <c r="D57" s="385"/>
      <c r="E57" s="385"/>
      <c r="F57" s="385"/>
      <c r="G57" s="15">
        <v>47</v>
      </c>
      <c r="H57" s="19"/>
      <c r="I57" s="73"/>
      <c r="J57" s="73"/>
    </row>
    <row r="58" spans="1:18" s="2" customFormat="1" ht="14.1" customHeight="1" x14ac:dyDescent="0.2">
      <c r="A58" s="410" t="s">
        <v>2561</v>
      </c>
      <c r="B58" s="410"/>
      <c r="C58" s="410"/>
      <c r="D58" s="410"/>
      <c r="E58" s="410"/>
      <c r="F58" s="410"/>
      <c r="G58" s="15">
        <v>48</v>
      </c>
      <c r="H58" s="19"/>
      <c r="I58" s="82">
        <f>I28+I43+I56+I57</f>
        <v>0</v>
      </c>
      <c r="J58" s="82">
        <f>J28+J43+J56+J57</f>
        <v>0</v>
      </c>
    </row>
    <row r="59" spans="1:18" s="2" customFormat="1" ht="14.1" customHeight="1" x14ac:dyDescent="0.2">
      <c r="A59" s="410" t="s">
        <v>2810</v>
      </c>
      <c r="B59" s="410"/>
      <c r="C59" s="410"/>
      <c r="D59" s="410"/>
      <c r="E59" s="410"/>
      <c r="F59" s="410"/>
      <c r="G59" s="15">
        <v>49</v>
      </c>
      <c r="H59" s="19"/>
      <c r="I59" s="73"/>
      <c r="J59" s="73"/>
      <c r="L59" s="2" t="s">
        <v>2525</v>
      </c>
    </row>
    <row r="60" spans="1:18" s="2" customFormat="1" ht="14.1" customHeight="1" x14ac:dyDescent="0.2">
      <c r="A60" s="459" t="s">
        <v>2560</v>
      </c>
      <c r="B60" s="459"/>
      <c r="C60" s="459"/>
      <c r="D60" s="459"/>
      <c r="E60" s="459"/>
      <c r="F60" s="459"/>
      <c r="G60" s="17">
        <v>50</v>
      </c>
      <c r="H60" s="20"/>
      <c r="I60" s="83">
        <f>I59+I58</f>
        <v>0</v>
      </c>
      <c r="J60" s="83">
        <f>J59+J58</f>
        <v>0</v>
      </c>
      <c r="L60" s="2" t="s">
        <v>2525</v>
      </c>
      <c r="Q60" s="78"/>
      <c r="R60" s="78"/>
    </row>
    <row r="61" spans="1:18" ht="5.0999999999999996" customHeight="1" x14ac:dyDescent="0.2">
      <c r="O61" s="2"/>
      <c r="P61" s="2"/>
    </row>
    <row r="62" spans="1:18" hidden="1" x14ac:dyDescent="0.2">
      <c r="O62" s="2"/>
      <c r="P62" s="2"/>
    </row>
  </sheetData>
  <sheetProtection password="C79A" sheet="1" objects="1" scenarios="1"/>
  <mergeCells count="59">
    <mergeCell ref="A60:F60"/>
    <mergeCell ref="A52:F52"/>
    <mergeCell ref="A53:F53"/>
    <mergeCell ref="A55:F55"/>
    <mergeCell ref="A59:F59"/>
    <mergeCell ref="A56:F56"/>
    <mergeCell ref="A58:F58"/>
    <mergeCell ref="A57:F57"/>
    <mergeCell ref="A54:F54"/>
    <mergeCell ref="A24:F24"/>
    <mergeCell ref="A28:F28"/>
    <mergeCell ref="A50:F50"/>
    <mergeCell ref="A27:F27"/>
    <mergeCell ref="A38:F38"/>
    <mergeCell ref="A46:F46"/>
    <mergeCell ref="A49:F49"/>
    <mergeCell ref="A47:F47"/>
    <mergeCell ref="A48:F48"/>
    <mergeCell ref="A41:F41"/>
    <mergeCell ref="A51:F51"/>
    <mergeCell ref="A39:F39"/>
    <mergeCell ref="A32:F32"/>
    <mergeCell ref="A35:F35"/>
    <mergeCell ref="A33:F33"/>
    <mergeCell ref="A34:F34"/>
    <mergeCell ref="A45:F45"/>
    <mergeCell ref="A44:J44"/>
    <mergeCell ref="A43:F43"/>
    <mergeCell ref="A42:F42"/>
    <mergeCell ref="A26:F26"/>
    <mergeCell ref="A37:F37"/>
    <mergeCell ref="A40:F40"/>
    <mergeCell ref="A20:F20"/>
    <mergeCell ref="A30:F30"/>
    <mergeCell ref="A21:F21"/>
    <mergeCell ref="A22:F22"/>
    <mergeCell ref="A31:F31"/>
    <mergeCell ref="A29:J29"/>
    <mergeCell ref="A23:F23"/>
    <mergeCell ref="A17:F17"/>
    <mergeCell ref="A36:F36"/>
    <mergeCell ref="A5:J5"/>
    <mergeCell ref="A6:F6"/>
    <mergeCell ref="A7:F7"/>
    <mergeCell ref="A18:F18"/>
    <mergeCell ref="A19:F19"/>
    <mergeCell ref="A9:F9"/>
    <mergeCell ref="A8:J8"/>
    <mergeCell ref="A10:F10"/>
    <mergeCell ref="J2:J3"/>
    <mergeCell ref="A2:I2"/>
    <mergeCell ref="A3:I3"/>
    <mergeCell ref="A25:F25"/>
    <mergeCell ref="A11:F11"/>
    <mergeCell ref="A12:F12"/>
    <mergeCell ref="A13:F13"/>
    <mergeCell ref="A14:F14"/>
    <mergeCell ref="A15:F15"/>
    <mergeCell ref="A16:F16"/>
  </mergeCells>
  <phoneticPr fontId="3" type="noConversion"/>
  <conditionalFormatting sqref="I43:J43 I27:J28 I9:J10 I12:J13 I16:J25 I40:J40 I56:J58">
    <cfRule type="cellIs" dxfId="12" priority="1" stopIfTrue="1" operator="notEqual">
      <formula>ROUND(I9,0)</formula>
    </cfRule>
  </conditionalFormatting>
  <conditionalFormatting sqref="I11:J11 I59:J60 I45:J49 I30:J36 I15:J15">
    <cfRule type="cellIs" dxfId="11" priority="2" stopIfTrue="1" operator="notEqual">
      <formula>ROUND(I11,0)</formula>
    </cfRule>
    <cfRule type="cellIs" dxfId="10" priority="3" stopIfTrue="1" operator="lessThan">
      <formula>0</formula>
    </cfRule>
  </conditionalFormatting>
  <conditionalFormatting sqref="I14:J14 I50:J55 I41:J42 I37:J39 I26:J26">
    <cfRule type="cellIs" dxfId="9" priority="4" stopIfTrue="1" operator="notEqual">
      <formula>ROUND(I14,0)</formula>
    </cfRule>
    <cfRule type="cellIs" dxfId="8" priority="5" stopIfTrue="1" operator="greaterThan">
      <formula>0</formula>
    </cfRule>
  </conditionalFormatting>
  <dataValidations count="3">
    <dataValidation type="whole" operator="greaterThanOrEqual" allowBlank="1" showInputMessage="1" showErrorMessage="1" errorTitle="Pogrešan upis" error="Dopušten je upis samo pozitivnih cjelobrojnih vrijednosti ili nule" sqref="I30:J36 I15:J15 I45:J49 I59:J60 I11:J11">
      <formula1>0</formula1>
    </dataValidation>
    <dataValidation type="whole" operator="lessThanOrEqual" allowBlank="1" showInputMessage="1" showErrorMessage="1" errorTitle="Pogrešan upis" error="Dopušten je upis samo negativnih cjelobrojnih vrijednosti ili nule" sqref="I14:J14 I26:J26 I37:J37 I38:J39 I41:J42 I50:J55">
      <formula1>0</formula1>
    </dataValidation>
    <dataValidation type="whole" operator="notEqual" allowBlank="1" showInputMessage="1" showErrorMessage="1" errorTitle="Pogrešan upis" error="Dopušten je upis samo cjelobrojnih vrijednosti ili nule" sqref="I9:J10 I12:J13 I16:J25 I27:J28 I40:J40 I43:J43 I56:J58 I9:J28">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47244094488188981" bottom="0.59055118110236227" header="0.39370078740157483" footer="0.39370078740157483"/>
  <pageSetup paperSize="9" scale="86" fitToHeight="0"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pageSetUpPr fitToPage="1"/>
  </sheetPr>
  <dimension ref="A1:W55"/>
  <sheetViews>
    <sheetView showGridLines="0" showRowColHeaders="0" workbookViewId="0">
      <pane ySplit="1" topLeftCell="A2" activePane="bottomLeft" state="frozen"/>
      <selection pane="bottomLeft"/>
    </sheetView>
  </sheetViews>
  <sheetFormatPr defaultColWidth="0" defaultRowHeight="12" zeroHeight="1" x14ac:dyDescent="0.2"/>
  <cols>
    <col min="1" max="6" width="10.42578125" style="78" customWidth="1"/>
    <col min="7" max="8" width="5.7109375" style="78" customWidth="1"/>
    <col min="9" max="10" width="14.7109375" style="78" customWidth="1"/>
    <col min="11" max="11" width="0.85546875" style="78" customWidth="1"/>
    <col min="12" max="12" width="9.140625" style="78" hidden="1" customWidth="1"/>
    <col min="13" max="13" width="11.140625" style="78" hidden="1" customWidth="1"/>
    <col min="14" max="15" width="9.5703125" style="78" hidden="1" customWidth="1"/>
    <col min="16" max="20" width="9.140625" style="78" hidden="1" customWidth="1"/>
    <col min="21" max="21" width="11.140625" style="78" hidden="1" customWidth="1"/>
    <col min="22" max="23" width="9.5703125" style="78" hidden="1" customWidth="1"/>
    <col min="24" max="16384" width="9.140625" style="78" hidden="1"/>
  </cols>
  <sheetData>
    <row r="1" spans="1:18" ht="24.95" customHeight="1" thickBot="1" x14ac:dyDescent="0.25">
      <c r="A1" s="139" t="s">
        <v>57</v>
      </c>
      <c r="B1" s="63" t="s">
        <v>56</v>
      </c>
      <c r="C1" s="63" t="s">
        <v>59</v>
      </c>
      <c r="D1" s="63" t="s">
        <v>2328</v>
      </c>
      <c r="E1" s="63" t="s">
        <v>794</v>
      </c>
      <c r="F1" s="63" t="s">
        <v>2824</v>
      </c>
      <c r="G1" s="63" t="s">
        <v>2748</v>
      </c>
      <c r="H1" s="63" t="s">
        <v>2749</v>
      </c>
      <c r="I1" s="63" t="s">
        <v>795</v>
      </c>
      <c r="J1" s="64" t="s">
        <v>58</v>
      </c>
      <c r="Q1" s="2">
        <f>IF(OR(MIN(I8:J54)&lt;0,MAX(I8:J54)&gt;0),1,0)</f>
        <v>0</v>
      </c>
      <c r="R1" s="69" t="s">
        <v>792</v>
      </c>
    </row>
    <row r="2" spans="1:18" s="2" customFormat="1" ht="20.100000000000001" customHeight="1" x14ac:dyDescent="0.2">
      <c r="A2" s="447" t="s">
        <v>1103</v>
      </c>
      <c r="B2" s="448"/>
      <c r="C2" s="448"/>
      <c r="D2" s="448"/>
      <c r="E2" s="448"/>
      <c r="F2" s="448"/>
      <c r="G2" s="448"/>
      <c r="H2" s="448"/>
      <c r="I2" s="449"/>
      <c r="J2" s="389" t="s">
        <v>1213</v>
      </c>
      <c r="Q2" s="70">
        <f>IF(OR(MIN(I8:I54)&lt;0,MAX(I8:I54)&gt;0),1,0)</f>
        <v>0</v>
      </c>
      <c r="R2" s="69" t="s">
        <v>1204</v>
      </c>
    </row>
    <row r="3" spans="1:18" s="2" customFormat="1" ht="20.100000000000001" customHeight="1" thickBot="1" x14ac:dyDescent="0.25">
      <c r="A3" s="450" t="str">
        <f xml:space="preserve"> "u razdoblju " &amp; IF(RefStr!C4&lt;&gt;"", TEXT(RefStr!C4, "DD.MM.YYYY."), "__.__.____.") &amp; " do " &amp; IF(RefStr!F4&lt;&gt;"", TEXT(RefStr!F4, "DD.MM.YYYY."),"__.__.____.")</f>
        <v>u razdoblju 01.01.2021. do 31.12.2021.</v>
      </c>
      <c r="B3" s="451"/>
      <c r="C3" s="451"/>
      <c r="D3" s="451"/>
      <c r="E3" s="451"/>
      <c r="F3" s="451"/>
      <c r="G3" s="451"/>
      <c r="H3" s="451"/>
      <c r="I3" s="452"/>
      <c r="J3" s="437"/>
      <c r="Q3" s="70">
        <f>IF(OR(MIN(J8:J54)&lt;0,MAX(J8:J54)&gt;0),1,0)</f>
        <v>0</v>
      </c>
      <c r="R3" s="69" t="s">
        <v>1205</v>
      </c>
    </row>
    <row r="4" spans="1:18" s="2" customFormat="1" ht="5.0999999999999996" customHeight="1" x14ac:dyDescent="0.2">
      <c r="A4" s="117"/>
      <c r="B4" s="118"/>
      <c r="C4" s="118"/>
      <c r="D4" s="118"/>
      <c r="E4" s="118"/>
      <c r="F4" s="118"/>
      <c r="G4" s="118"/>
      <c r="H4" s="118"/>
      <c r="I4" s="119"/>
    </row>
    <row r="5" spans="1:18" s="2" customFormat="1" ht="15" customHeight="1" x14ac:dyDescent="0.2">
      <c r="A5" s="397" t="str">
        <f>"Obveznik: "&amp;IF(RefStr!C27&lt;&gt;"",RefStr!C27,"________") &amp; "; " &amp; IF(RefStr!C29&lt;&gt;"",RefStr!C29,"________________________________________________________"&amp;"; "&amp;IF(RefStr!F31&lt;&gt;"",RefStr!F31,"_______________"))</f>
        <v>Obveznik: 50327992893; POSLOVNI SUSTAVI d.o.o. RIJEKA</v>
      </c>
      <c r="B5" s="398"/>
      <c r="C5" s="398"/>
      <c r="D5" s="398"/>
      <c r="E5" s="398"/>
      <c r="F5" s="398"/>
      <c r="G5" s="398"/>
      <c r="H5" s="398"/>
      <c r="I5" s="398"/>
      <c r="J5" s="399"/>
    </row>
    <row r="6" spans="1:18" s="2" customFormat="1" ht="24.75" customHeight="1" thickBot="1" x14ac:dyDescent="0.25">
      <c r="A6" s="455" t="s">
        <v>955</v>
      </c>
      <c r="B6" s="456"/>
      <c r="C6" s="456"/>
      <c r="D6" s="456"/>
      <c r="E6" s="456"/>
      <c r="F6" s="456"/>
      <c r="G6" s="94" t="s">
        <v>633</v>
      </c>
      <c r="H6" s="98" t="s">
        <v>2275</v>
      </c>
      <c r="I6" s="94" t="s">
        <v>19</v>
      </c>
      <c r="J6" s="95" t="s">
        <v>20</v>
      </c>
    </row>
    <row r="7" spans="1:18" s="2" customFormat="1" ht="14.1" customHeight="1" x14ac:dyDescent="0.2">
      <c r="A7" s="457">
        <v>1</v>
      </c>
      <c r="B7" s="458"/>
      <c r="C7" s="458"/>
      <c r="D7" s="458"/>
      <c r="E7" s="458"/>
      <c r="F7" s="458"/>
      <c r="G7" s="113">
        <v>2</v>
      </c>
      <c r="H7" s="114">
        <v>3</v>
      </c>
      <c r="I7" s="115">
        <v>4</v>
      </c>
      <c r="J7" s="116">
        <v>5</v>
      </c>
    </row>
    <row r="8" spans="1:18" s="2" customFormat="1" ht="15" customHeight="1" x14ac:dyDescent="0.2">
      <c r="A8" s="429" t="s">
        <v>207</v>
      </c>
      <c r="B8" s="430"/>
      <c r="C8" s="430"/>
      <c r="D8" s="430"/>
      <c r="E8" s="430"/>
      <c r="F8" s="430"/>
      <c r="G8" s="430"/>
      <c r="H8" s="430"/>
      <c r="I8" s="430"/>
      <c r="J8" s="431"/>
    </row>
    <row r="9" spans="1:18" s="2" customFormat="1" ht="14.1" customHeight="1" x14ac:dyDescent="0.2">
      <c r="A9" s="460" t="s">
        <v>1707</v>
      </c>
      <c r="B9" s="460"/>
      <c r="C9" s="460"/>
      <c r="D9" s="460"/>
      <c r="E9" s="460"/>
      <c r="F9" s="460"/>
      <c r="G9" s="88">
        <v>1</v>
      </c>
      <c r="H9" s="120"/>
      <c r="I9" s="90"/>
      <c r="J9" s="90"/>
      <c r="L9" s="2" t="s">
        <v>2525</v>
      </c>
    </row>
    <row r="10" spans="1:18" s="2" customFormat="1" ht="14.1" customHeight="1" x14ac:dyDescent="0.2">
      <c r="A10" s="385" t="s">
        <v>1708</v>
      </c>
      <c r="B10" s="385"/>
      <c r="C10" s="385"/>
      <c r="D10" s="385"/>
      <c r="E10" s="385"/>
      <c r="F10" s="385"/>
      <c r="G10" s="15">
        <v>2</v>
      </c>
      <c r="H10" s="19"/>
      <c r="I10" s="73"/>
      <c r="J10" s="73"/>
      <c r="L10" s="2" t="s">
        <v>2525</v>
      </c>
    </row>
    <row r="11" spans="1:18" s="2" customFormat="1" ht="14.1" customHeight="1" x14ac:dyDescent="0.2">
      <c r="A11" s="385" t="s">
        <v>1709</v>
      </c>
      <c r="B11" s="385"/>
      <c r="C11" s="385"/>
      <c r="D11" s="385"/>
      <c r="E11" s="385"/>
      <c r="F11" s="385"/>
      <c r="G11" s="15">
        <v>3</v>
      </c>
      <c r="H11" s="19"/>
      <c r="I11" s="73"/>
      <c r="J11" s="73"/>
      <c r="L11" s="2" t="s">
        <v>2525</v>
      </c>
    </row>
    <row r="12" spans="1:18" s="2" customFormat="1" ht="14.1" customHeight="1" x14ac:dyDescent="0.2">
      <c r="A12" s="385" t="s">
        <v>1710</v>
      </c>
      <c r="B12" s="385"/>
      <c r="C12" s="385"/>
      <c r="D12" s="385"/>
      <c r="E12" s="385"/>
      <c r="F12" s="385"/>
      <c r="G12" s="15">
        <v>4</v>
      </c>
      <c r="H12" s="19"/>
      <c r="I12" s="73"/>
      <c r="J12" s="73"/>
      <c r="L12" s="2" t="s">
        <v>2525</v>
      </c>
    </row>
    <row r="13" spans="1:18" s="2" customFormat="1" ht="14.1" customHeight="1" x14ac:dyDescent="0.2">
      <c r="A13" s="385" t="s">
        <v>1711</v>
      </c>
      <c r="B13" s="385"/>
      <c r="C13" s="385"/>
      <c r="D13" s="385"/>
      <c r="E13" s="385"/>
      <c r="F13" s="385"/>
      <c r="G13" s="15">
        <v>5</v>
      </c>
      <c r="H13" s="19"/>
      <c r="I13" s="73"/>
      <c r="J13" s="73"/>
      <c r="L13" s="2" t="s">
        <v>2525</v>
      </c>
    </row>
    <row r="14" spans="1:18" s="2" customFormat="1" ht="14.1" customHeight="1" x14ac:dyDescent="0.2">
      <c r="A14" s="408" t="s">
        <v>1712</v>
      </c>
      <c r="B14" s="385"/>
      <c r="C14" s="385"/>
      <c r="D14" s="385"/>
      <c r="E14" s="385"/>
      <c r="F14" s="385"/>
      <c r="G14" s="15">
        <v>6</v>
      </c>
      <c r="H14" s="19"/>
      <c r="I14" s="82">
        <f>SUM(I9:I13)</f>
        <v>0</v>
      </c>
      <c r="J14" s="82">
        <f>SUM(J9:J13)</f>
        <v>0</v>
      </c>
      <c r="L14" s="2" t="s">
        <v>2525</v>
      </c>
    </row>
    <row r="15" spans="1:18" s="2" customFormat="1" ht="14.1" customHeight="1" x14ac:dyDescent="0.2">
      <c r="A15" s="385" t="s">
        <v>1713</v>
      </c>
      <c r="B15" s="385"/>
      <c r="C15" s="385"/>
      <c r="D15" s="385"/>
      <c r="E15" s="385"/>
      <c r="F15" s="385"/>
      <c r="G15" s="15">
        <v>7</v>
      </c>
      <c r="H15" s="19"/>
      <c r="I15" s="73"/>
      <c r="J15" s="73"/>
      <c r="L15" s="2" t="s">
        <v>1209</v>
      </c>
    </row>
    <row r="16" spans="1:18" s="2" customFormat="1" ht="14.1" customHeight="1" x14ac:dyDescent="0.2">
      <c r="A16" s="385" t="s">
        <v>1714</v>
      </c>
      <c r="B16" s="385"/>
      <c r="C16" s="385"/>
      <c r="D16" s="385"/>
      <c r="E16" s="385"/>
      <c r="F16" s="385"/>
      <c r="G16" s="15">
        <v>8</v>
      </c>
      <c r="H16" s="19"/>
      <c r="I16" s="73"/>
      <c r="J16" s="73"/>
      <c r="L16" s="2" t="s">
        <v>1209</v>
      </c>
    </row>
    <row r="17" spans="1:12" s="2" customFormat="1" ht="14.1" customHeight="1" x14ac:dyDescent="0.2">
      <c r="A17" s="385" t="s">
        <v>1715</v>
      </c>
      <c r="B17" s="385"/>
      <c r="C17" s="385"/>
      <c r="D17" s="385"/>
      <c r="E17" s="385"/>
      <c r="F17" s="385"/>
      <c r="G17" s="15">
        <v>9</v>
      </c>
      <c r="H17" s="19"/>
      <c r="I17" s="73"/>
      <c r="J17" s="73"/>
      <c r="L17" s="2" t="s">
        <v>1209</v>
      </c>
    </row>
    <row r="18" spans="1:12" s="2" customFormat="1" ht="14.1" customHeight="1" x14ac:dyDescent="0.2">
      <c r="A18" s="385" t="s">
        <v>1716</v>
      </c>
      <c r="B18" s="385"/>
      <c r="C18" s="385"/>
      <c r="D18" s="385"/>
      <c r="E18" s="385"/>
      <c r="F18" s="385"/>
      <c r="G18" s="15">
        <v>10</v>
      </c>
      <c r="H18" s="19"/>
      <c r="I18" s="73"/>
      <c r="J18" s="73"/>
      <c r="L18" s="2" t="s">
        <v>1209</v>
      </c>
    </row>
    <row r="19" spans="1:12" s="2" customFormat="1" ht="14.1" customHeight="1" x14ac:dyDescent="0.2">
      <c r="A19" s="385" t="s">
        <v>1717</v>
      </c>
      <c r="B19" s="385"/>
      <c r="C19" s="385"/>
      <c r="D19" s="385"/>
      <c r="E19" s="385"/>
      <c r="F19" s="385"/>
      <c r="G19" s="15">
        <v>11</v>
      </c>
      <c r="H19" s="19"/>
      <c r="I19" s="73"/>
      <c r="J19" s="73"/>
      <c r="L19" s="2" t="s">
        <v>1209</v>
      </c>
    </row>
    <row r="20" spans="1:12" s="2" customFormat="1" ht="14.1" customHeight="1" x14ac:dyDescent="0.2">
      <c r="A20" s="385" t="s">
        <v>1706</v>
      </c>
      <c r="B20" s="385"/>
      <c r="C20" s="385"/>
      <c r="D20" s="385"/>
      <c r="E20" s="385"/>
      <c r="F20" s="385"/>
      <c r="G20" s="15">
        <v>12</v>
      </c>
      <c r="H20" s="19"/>
      <c r="I20" s="73"/>
      <c r="J20" s="73"/>
      <c r="L20" s="2" t="s">
        <v>1209</v>
      </c>
    </row>
    <row r="21" spans="1:12" s="2" customFormat="1" ht="14.1" customHeight="1" x14ac:dyDescent="0.2">
      <c r="A21" s="408" t="s">
        <v>1718</v>
      </c>
      <c r="B21" s="408"/>
      <c r="C21" s="408"/>
      <c r="D21" s="408"/>
      <c r="E21" s="408"/>
      <c r="F21" s="408"/>
      <c r="G21" s="15">
        <v>13</v>
      </c>
      <c r="H21" s="19"/>
      <c r="I21" s="82">
        <f>SUM(I15:I20)</f>
        <v>0</v>
      </c>
      <c r="J21" s="82">
        <f>SUM(J15:J20)</f>
        <v>0</v>
      </c>
      <c r="L21" s="2" t="s">
        <v>1209</v>
      </c>
    </row>
    <row r="22" spans="1:12" s="2" customFormat="1" ht="15" customHeight="1" x14ac:dyDescent="0.2">
      <c r="A22" s="459" t="s">
        <v>920</v>
      </c>
      <c r="B22" s="459"/>
      <c r="C22" s="459"/>
      <c r="D22" s="459"/>
      <c r="E22" s="459"/>
      <c r="F22" s="459"/>
      <c r="G22" s="17">
        <v>14</v>
      </c>
      <c r="H22" s="20"/>
      <c r="I22" s="83">
        <f>I14+I21</f>
        <v>0</v>
      </c>
      <c r="J22" s="83">
        <f>J14+J21</f>
        <v>0</v>
      </c>
    </row>
    <row r="23" spans="1:12" s="2" customFormat="1" ht="14.1" customHeight="1" x14ac:dyDescent="0.2">
      <c r="A23" s="429" t="s">
        <v>2357</v>
      </c>
      <c r="B23" s="430"/>
      <c r="C23" s="430"/>
      <c r="D23" s="430"/>
      <c r="E23" s="430"/>
      <c r="F23" s="430"/>
      <c r="G23" s="430"/>
      <c r="H23" s="430"/>
      <c r="I23" s="430"/>
      <c r="J23" s="431"/>
    </row>
    <row r="24" spans="1:12" s="2" customFormat="1" ht="15" customHeight="1" x14ac:dyDescent="0.2">
      <c r="A24" s="427" t="s">
        <v>899</v>
      </c>
      <c r="B24" s="427"/>
      <c r="C24" s="427"/>
      <c r="D24" s="427"/>
      <c r="E24" s="427"/>
      <c r="F24" s="427"/>
      <c r="G24" s="88">
        <v>15</v>
      </c>
      <c r="H24" s="120"/>
      <c r="I24" s="90"/>
      <c r="J24" s="90"/>
      <c r="L24" s="2" t="s">
        <v>2525</v>
      </c>
    </row>
    <row r="25" spans="1:12" s="2" customFormat="1" ht="14.1" customHeight="1" x14ac:dyDescent="0.2">
      <c r="A25" s="413" t="s">
        <v>900</v>
      </c>
      <c r="B25" s="413"/>
      <c r="C25" s="413"/>
      <c r="D25" s="413"/>
      <c r="E25" s="413"/>
      <c r="F25" s="413"/>
      <c r="G25" s="15">
        <v>16</v>
      </c>
      <c r="H25" s="19"/>
      <c r="I25" s="73"/>
      <c r="J25" s="73"/>
      <c r="L25" s="2" t="s">
        <v>2525</v>
      </c>
    </row>
    <row r="26" spans="1:12" s="2" customFormat="1" ht="14.1" customHeight="1" x14ac:dyDescent="0.2">
      <c r="A26" s="413" t="s">
        <v>901</v>
      </c>
      <c r="B26" s="413"/>
      <c r="C26" s="413"/>
      <c r="D26" s="413"/>
      <c r="E26" s="413"/>
      <c r="F26" s="413"/>
      <c r="G26" s="15">
        <v>17</v>
      </c>
      <c r="H26" s="19"/>
      <c r="I26" s="73"/>
      <c r="J26" s="73"/>
      <c r="L26" s="2" t="s">
        <v>2525</v>
      </c>
    </row>
    <row r="27" spans="1:12" s="2" customFormat="1" ht="14.1" customHeight="1" x14ac:dyDescent="0.2">
      <c r="A27" s="413" t="s">
        <v>1786</v>
      </c>
      <c r="B27" s="413"/>
      <c r="C27" s="413"/>
      <c r="D27" s="413"/>
      <c r="E27" s="413"/>
      <c r="F27" s="413"/>
      <c r="G27" s="15">
        <v>18</v>
      </c>
      <c r="H27" s="19"/>
      <c r="I27" s="73"/>
      <c r="J27" s="73"/>
      <c r="L27" s="2" t="s">
        <v>2525</v>
      </c>
    </row>
    <row r="28" spans="1:12" s="2" customFormat="1" ht="14.1" customHeight="1" x14ac:dyDescent="0.2">
      <c r="A28" s="413" t="s">
        <v>2087</v>
      </c>
      <c r="B28" s="413"/>
      <c r="C28" s="413"/>
      <c r="D28" s="413"/>
      <c r="E28" s="413"/>
      <c r="F28" s="413"/>
      <c r="G28" s="15">
        <v>19</v>
      </c>
      <c r="H28" s="19"/>
      <c r="I28" s="73"/>
      <c r="J28" s="73"/>
      <c r="L28" s="2" t="s">
        <v>2525</v>
      </c>
    </row>
    <row r="29" spans="1:12" s="2" customFormat="1" ht="14.1" customHeight="1" x14ac:dyDescent="0.2">
      <c r="A29" s="413" t="s">
        <v>1785</v>
      </c>
      <c r="B29" s="413"/>
      <c r="C29" s="413"/>
      <c r="D29" s="413"/>
      <c r="E29" s="413"/>
      <c r="F29" s="413"/>
      <c r="G29" s="15">
        <v>20</v>
      </c>
      <c r="H29" s="19"/>
      <c r="I29" s="73"/>
      <c r="J29" s="73"/>
      <c r="L29" s="2" t="s">
        <v>2525</v>
      </c>
    </row>
    <row r="30" spans="1:12" s="2" customFormat="1" ht="15" customHeight="1" x14ac:dyDescent="0.2">
      <c r="A30" s="408" t="s">
        <v>1719</v>
      </c>
      <c r="B30" s="408"/>
      <c r="C30" s="408"/>
      <c r="D30" s="408"/>
      <c r="E30" s="408"/>
      <c r="F30" s="408"/>
      <c r="G30" s="15">
        <v>21</v>
      </c>
      <c r="H30" s="19"/>
      <c r="I30" s="82">
        <f>SUM(I24:I29)</f>
        <v>0</v>
      </c>
      <c r="J30" s="82">
        <f>SUM(J24:J29)</f>
        <v>0</v>
      </c>
      <c r="L30" s="2" t="s">
        <v>2525</v>
      </c>
    </row>
    <row r="31" spans="1:12" s="2" customFormat="1" ht="15" customHeight="1" x14ac:dyDescent="0.2">
      <c r="A31" s="413" t="s">
        <v>2088</v>
      </c>
      <c r="B31" s="413"/>
      <c r="C31" s="413"/>
      <c r="D31" s="413"/>
      <c r="E31" s="413"/>
      <c r="F31" s="413"/>
      <c r="G31" s="15">
        <v>22</v>
      </c>
      <c r="H31" s="19"/>
      <c r="I31" s="73"/>
      <c r="J31" s="73"/>
      <c r="L31" s="2" t="s">
        <v>1209</v>
      </c>
    </row>
    <row r="32" spans="1:12" s="2" customFormat="1" ht="14.1" customHeight="1" x14ac:dyDescent="0.2">
      <c r="A32" s="413" t="s">
        <v>2089</v>
      </c>
      <c r="B32" s="413"/>
      <c r="C32" s="413"/>
      <c r="D32" s="413"/>
      <c r="E32" s="413"/>
      <c r="F32" s="413"/>
      <c r="G32" s="15">
        <v>23</v>
      </c>
      <c r="H32" s="19"/>
      <c r="I32" s="73"/>
      <c r="J32" s="73"/>
      <c r="L32" s="2" t="s">
        <v>1209</v>
      </c>
    </row>
    <row r="33" spans="1:12" s="2" customFormat="1" ht="14.1" customHeight="1" x14ac:dyDescent="0.2">
      <c r="A33" s="413" t="s">
        <v>2090</v>
      </c>
      <c r="B33" s="413"/>
      <c r="C33" s="413"/>
      <c r="D33" s="413"/>
      <c r="E33" s="413"/>
      <c r="F33" s="413"/>
      <c r="G33" s="15">
        <v>24</v>
      </c>
      <c r="H33" s="19"/>
      <c r="I33" s="73"/>
      <c r="J33" s="73"/>
      <c r="L33" s="2" t="s">
        <v>1209</v>
      </c>
    </row>
    <row r="34" spans="1:12" s="2" customFormat="1" ht="14.1" customHeight="1" x14ac:dyDescent="0.2">
      <c r="A34" s="413" t="s">
        <v>2091</v>
      </c>
      <c r="B34" s="413"/>
      <c r="C34" s="413"/>
      <c r="D34" s="413"/>
      <c r="E34" s="413"/>
      <c r="F34" s="413"/>
      <c r="G34" s="15">
        <v>25</v>
      </c>
      <c r="H34" s="19"/>
      <c r="I34" s="73"/>
      <c r="J34" s="73"/>
    </row>
    <row r="35" spans="1:12" s="2" customFormat="1" ht="14.1" customHeight="1" x14ac:dyDescent="0.2">
      <c r="A35" s="413" t="s">
        <v>2092</v>
      </c>
      <c r="B35" s="413"/>
      <c r="C35" s="413"/>
      <c r="D35" s="413"/>
      <c r="E35" s="413"/>
      <c r="F35" s="413"/>
      <c r="G35" s="15">
        <v>26</v>
      </c>
      <c r="H35" s="19"/>
      <c r="I35" s="73"/>
      <c r="J35" s="73"/>
      <c r="L35" s="2" t="s">
        <v>1209</v>
      </c>
    </row>
    <row r="36" spans="1:12" s="2" customFormat="1" ht="15" customHeight="1" x14ac:dyDescent="0.2">
      <c r="A36" s="408" t="s">
        <v>1720</v>
      </c>
      <c r="B36" s="408"/>
      <c r="C36" s="408"/>
      <c r="D36" s="408"/>
      <c r="E36" s="408"/>
      <c r="F36" s="408"/>
      <c r="G36" s="15">
        <v>27</v>
      </c>
      <c r="H36" s="19"/>
      <c r="I36" s="82">
        <f>SUM(I31:I35)</f>
        <v>0</v>
      </c>
      <c r="J36" s="82">
        <f>SUM(J31:J35)</f>
        <v>0</v>
      </c>
      <c r="L36" s="2" t="s">
        <v>1209</v>
      </c>
    </row>
    <row r="37" spans="1:12" s="2" customFormat="1" ht="15" customHeight="1" x14ac:dyDescent="0.2">
      <c r="A37" s="459" t="s">
        <v>1721</v>
      </c>
      <c r="B37" s="459"/>
      <c r="C37" s="459"/>
      <c r="D37" s="459"/>
      <c r="E37" s="459"/>
      <c r="F37" s="459"/>
      <c r="G37" s="17">
        <v>28</v>
      </c>
      <c r="H37" s="20"/>
      <c r="I37" s="83">
        <f>I30+I36</f>
        <v>0</v>
      </c>
      <c r="J37" s="83">
        <f>J30+J36</f>
        <v>0</v>
      </c>
    </row>
    <row r="38" spans="1:12" s="2" customFormat="1" ht="14.1" customHeight="1" x14ac:dyDescent="0.2">
      <c r="A38" s="429" t="s">
        <v>2808</v>
      </c>
      <c r="B38" s="430"/>
      <c r="C38" s="430"/>
      <c r="D38" s="430"/>
      <c r="E38" s="430"/>
      <c r="F38" s="430"/>
      <c r="G38" s="430">
        <v>0</v>
      </c>
      <c r="H38" s="430"/>
      <c r="I38" s="430"/>
      <c r="J38" s="431"/>
    </row>
    <row r="39" spans="1:12" s="2" customFormat="1" ht="14.1" customHeight="1" x14ac:dyDescent="0.2">
      <c r="A39" s="460" t="s">
        <v>2093</v>
      </c>
      <c r="B39" s="460"/>
      <c r="C39" s="460"/>
      <c r="D39" s="460"/>
      <c r="E39" s="460"/>
      <c r="F39" s="460"/>
      <c r="G39" s="88">
        <v>29</v>
      </c>
      <c r="H39" s="120"/>
      <c r="I39" s="90"/>
      <c r="J39" s="90"/>
      <c r="L39" s="2" t="s">
        <v>2525</v>
      </c>
    </row>
    <row r="40" spans="1:12" s="2" customFormat="1" ht="24.95" customHeight="1" x14ac:dyDescent="0.2">
      <c r="A40" s="385" t="s">
        <v>2532</v>
      </c>
      <c r="B40" s="385"/>
      <c r="C40" s="385"/>
      <c r="D40" s="385"/>
      <c r="E40" s="385"/>
      <c r="F40" s="385"/>
      <c r="G40" s="15">
        <v>30</v>
      </c>
      <c r="H40" s="19"/>
      <c r="I40" s="73"/>
      <c r="J40" s="73"/>
      <c r="L40" s="2" t="s">
        <v>2525</v>
      </c>
    </row>
    <row r="41" spans="1:12" s="2" customFormat="1" ht="14.1" customHeight="1" x14ac:dyDescent="0.2">
      <c r="A41" s="385" t="s">
        <v>2533</v>
      </c>
      <c r="B41" s="385"/>
      <c r="C41" s="385"/>
      <c r="D41" s="385"/>
      <c r="E41" s="385"/>
      <c r="F41" s="385"/>
      <c r="G41" s="15">
        <v>31</v>
      </c>
      <c r="H41" s="19"/>
      <c r="I41" s="73"/>
      <c r="J41" s="73"/>
      <c r="L41" s="2" t="s">
        <v>2525</v>
      </c>
    </row>
    <row r="42" spans="1:12" s="2" customFormat="1" ht="14.1" customHeight="1" x14ac:dyDescent="0.2">
      <c r="A42" s="385" t="s">
        <v>2534</v>
      </c>
      <c r="B42" s="385"/>
      <c r="C42" s="385"/>
      <c r="D42" s="385"/>
      <c r="E42" s="385"/>
      <c r="F42" s="385"/>
      <c r="G42" s="15">
        <v>32</v>
      </c>
      <c r="H42" s="19"/>
      <c r="I42" s="73"/>
      <c r="J42" s="73"/>
      <c r="L42" s="2" t="s">
        <v>2525</v>
      </c>
    </row>
    <row r="43" spans="1:12" s="2" customFormat="1" ht="15" customHeight="1" x14ac:dyDescent="0.2">
      <c r="A43" s="408" t="s">
        <v>1722</v>
      </c>
      <c r="B43" s="408"/>
      <c r="C43" s="408"/>
      <c r="D43" s="408"/>
      <c r="E43" s="408"/>
      <c r="F43" s="408"/>
      <c r="G43" s="15">
        <v>33</v>
      </c>
      <c r="H43" s="19"/>
      <c r="I43" s="82">
        <f>SUM(I39:I42)</f>
        <v>0</v>
      </c>
      <c r="J43" s="82">
        <f>SUM(J39:J42)</f>
        <v>0</v>
      </c>
      <c r="L43" s="2" t="s">
        <v>2525</v>
      </c>
    </row>
    <row r="44" spans="1:12" s="2" customFormat="1" ht="25.5" customHeight="1" x14ac:dyDescent="0.2">
      <c r="A44" s="385" t="s">
        <v>2535</v>
      </c>
      <c r="B44" s="385"/>
      <c r="C44" s="385"/>
      <c r="D44" s="385"/>
      <c r="E44" s="385"/>
      <c r="F44" s="385"/>
      <c r="G44" s="15">
        <v>34</v>
      </c>
      <c r="H44" s="19"/>
      <c r="I44" s="73"/>
      <c r="J44" s="73"/>
      <c r="L44" s="2" t="s">
        <v>1209</v>
      </c>
    </row>
    <row r="45" spans="1:12" s="2" customFormat="1" ht="14.1" customHeight="1" x14ac:dyDescent="0.2">
      <c r="A45" s="385" t="s">
        <v>2536</v>
      </c>
      <c r="B45" s="385"/>
      <c r="C45" s="385"/>
      <c r="D45" s="385"/>
      <c r="E45" s="385"/>
      <c r="F45" s="385"/>
      <c r="G45" s="15">
        <v>35</v>
      </c>
      <c r="H45" s="19"/>
      <c r="I45" s="73"/>
      <c r="J45" s="73"/>
      <c r="L45" s="2" t="s">
        <v>1209</v>
      </c>
    </row>
    <row r="46" spans="1:12" s="2" customFormat="1" ht="14.1" customHeight="1" x14ac:dyDescent="0.2">
      <c r="A46" s="385" t="s">
        <v>2537</v>
      </c>
      <c r="B46" s="385"/>
      <c r="C46" s="385"/>
      <c r="D46" s="385"/>
      <c r="E46" s="385"/>
      <c r="F46" s="385"/>
      <c r="G46" s="15">
        <v>36</v>
      </c>
      <c r="H46" s="19"/>
      <c r="I46" s="73"/>
      <c r="J46" s="73"/>
      <c r="L46" s="2" t="s">
        <v>1209</v>
      </c>
    </row>
    <row r="47" spans="1:12" s="2" customFormat="1" ht="25.5" customHeight="1" x14ac:dyDescent="0.2">
      <c r="A47" s="385" t="s">
        <v>1995</v>
      </c>
      <c r="B47" s="385"/>
      <c r="C47" s="385"/>
      <c r="D47" s="385"/>
      <c r="E47" s="385"/>
      <c r="F47" s="385"/>
      <c r="G47" s="15">
        <v>37</v>
      </c>
      <c r="H47" s="19"/>
      <c r="I47" s="73"/>
      <c r="J47" s="73"/>
      <c r="L47" s="2" t="s">
        <v>1209</v>
      </c>
    </row>
    <row r="48" spans="1:12" s="2" customFormat="1" ht="14.1" customHeight="1" x14ac:dyDescent="0.2">
      <c r="A48" s="385" t="s">
        <v>15</v>
      </c>
      <c r="B48" s="385"/>
      <c r="C48" s="385"/>
      <c r="D48" s="385"/>
      <c r="E48" s="385"/>
      <c r="F48" s="385"/>
      <c r="G48" s="15">
        <v>38</v>
      </c>
      <c r="H48" s="19"/>
      <c r="I48" s="73"/>
      <c r="J48" s="73"/>
      <c r="L48" s="2" t="s">
        <v>1209</v>
      </c>
    </row>
    <row r="49" spans="1:12" s="2" customFormat="1" ht="15" customHeight="1" x14ac:dyDescent="0.2">
      <c r="A49" s="408" t="s">
        <v>1723</v>
      </c>
      <c r="B49" s="408"/>
      <c r="C49" s="408"/>
      <c r="D49" s="408"/>
      <c r="E49" s="408"/>
      <c r="F49" s="408"/>
      <c r="G49" s="15">
        <v>39</v>
      </c>
      <c r="H49" s="19"/>
      <c r="I49" s="82">
        <f>SUM(I44:I48)</f>
        <v>0</v>
      </c>
      <c r="J49" s="82">
        <f>SUM(J44:J48)</f>
        <v>0</v>
      </c>
      <c r="L49" s="2" t="s">
        <v>1209</v>
      </c>
    </row>
    <row r="50" spans="1:12" s="2" customFormat="1" ht="15" customHeight="1" x14ac:dyDescent="0.2">
      <c r="A50" s="410" t="s">
        <v>1724</v>
      </c>
      <c r="B50" s="410"/>
      <c r="C50" s="410"/>
      <c r="D50" s="410"/>
      <c r="E50" s="410"/>
      <c r="F50" s="410"/>
      <c r="G50" s="15">
        <v>40</v>
      </c>
      <c r="H50" s="19"/>
      <c r="I50" s="82">
        <f>I43+I49</f>
        <v>0</v>
      </c>
      <c r="J50" s="82">
        <f>J43+J49</f>
        <v>0</v>
      </c>
    </row>
    <row r="51" spans="1:12" s="2" customFormat="1" ht="14.1" customHeight="1" x14ac:dyDescent="0.2">
      <c r="A51" s="413" t="s">
        <v>902</v>
      </c>
      <c r="B51" s="413"/>
      <c r="C51" s="413"/>
      <c r="D51" s="413"/>
      <c r="E51" s="413"/>
      <c r="F51" s="413"/>
      <c r="G51" s="15">
        <v>41</v>
      </c>
      <c r="H51" s="19"/>
      <c r="I51" s="73"/>
      <c r="J51" s="73"/>
    </row>
    <row r="52" spans="1:12" s="2" customFormat="1" ht="25.5" customHeight="1" x14ac:dyDescent="0.2">
      <c r="A52" s="410" t="s">
        <v>1725</v>
      </c>
      <c r="B52" s="410"/>
      <c r="C52" s="410"/>
      <c r="D52" s="410"/>
      <c r="E52" s="410"/>
      <c r="F52" s="410"/>
      <c r="G52" s="15">
        <v>42</v>
      </c>
      <c r="H52" s="19"/>
      <c r="I52" s="82">
        <f>I22+I37+I50+I51</f>
        <v>0</v>
      </c>
      <c r="J52" s="82">
        <f>J22+J37+J50+J51</f>
        <v>0</v>
      </c>
    </row>
    <row r="53" spans="1:12" s="2" customFormat="1" ht="14.1" customHeight="1" x14ac:dyDescent="0.2">
      <c r="A53" s="410" t="s">
        <v>2810</v>
      </c>
      <c r="B53" s="410"/>
      <c r="C53" s="410"/>
      <c r="D53" s="410"/>
      <c r="E53" s="410"/>
      <c r="F53" s="410"/>
      <c r="G53" s="15">
        <v>43</v>
      </c>
      <c r="H53" s="19"/>
      <c r="I53" s="73"/>
      <c r="J53" s="73"/>
      <c r="L53" s="2" t="s">
        <v>2525</v>
      </c>
    </row>
    <row r="54" spans="1:12" s="2" customFormat="1" ht="14.1" customHeight="1" x14ac:dyDescent="0.2">
      <c r="A54" s="459" t="s">
        <v>1726</v>
      </c>
      <c r="B54" s="459"/>
      <c r="C54" s="459"/>
      <c r="D54" s="459"/>
      <c r="E54" s="459"/>
      <c r="F54" s="459"/>
      <c r="G54" s="17">
        <v>44</v>
      </c>
      <c r="H54" s="20"/>
      <c r="I54" s="83">
        <f>I52+I53</f>
        <v>0</v>
      </c>
      <c r="J54" s="83">
        <f>J52+J53</f>
        <v>0</v>
      </c>
      <c r="L54" s="2" t="s">
        <v>2525</v>
      </c>
    </row>
    <row r="55" spans="1:12" ht="5.0999999999999996" customHeight="1" x14ac:dyDescent="0.2"/>
  </sheetData>
  <sheetProtection password="C79A" sheet="1" objects="1" scenarios="1"/>
  <mergeCells count="53">
    <mergeCell ref="A10:F10"/>
    <mergeCell ref="A11:F11"/>
    <mergeCell ref="A12:F12"/>
    <mergeCell ref="A13:F13"/>
    <mergeCell ref="A14:F14"/>
    <mergeCell ref="A15:F15"/>
    <mergeCell ref="A2:I2"/>
    <mergeCell ref="J2:J3"/>
    <mergeCell ref="A3:I3"/>
    <mergeCell ref="A5:J5"/>
    <mergeCell ref="A6:F6"/>
    <mergeCell ref="A7:F7"/>
    <mergeCell ref="A8:J8"/>
    <mergeCell ref="A9:F9"/>
    <mergeCell ref="A18:F18"/>
    <mergeCell ref="A16:F16"/>
    <mergeCell ref="A17:F17"/>
    <mergeCell ref="A27:F27"/>
    <mergeCell ref="A25:F25"/>
    <mergeCell ref="A26:F26"/>
    <mergeCell ref="A22:F22"/>
    <mergeCell ref="A23:J23"/>
    <mergeCell ref="A19:F19"/>
    <mergeCell ref="A30:F30"/>
    <mergeCell ref="A31:F31"/>
    <mergeCell ref="A28:F28"/>
    <mergeCell ref="A29:F29"/>
    <mergeCell ref="A20:F20"/>
    <mergeCell ref="A24:F24"/>
    <mergeCell ref="A21:F21"/>
    <mergeCell ref="A32:F32"/>
    <mergeCell ref="A35:F35"/>
    <mergeCell ref="A47:F47"/>
    <mergeCell ref="A33:F33"/>
    <mergeCell ref="A41:F41"/>
    <mergeCell ref="A42:F42"/>
    <mergeCell ref="A36:F36"/>
    <mergeCell ref="A34:F34"/>
    <mergeCell ref="A37:F37"/>
    <mergeCell ref="A39:F39"/>
    <mergeCell ref="A38:J38"/>
    <mergeCell ref="A40:F40"/>
    <mergeCell ref="A46:F46"/>
    <mergeCell ref="A44:F44"/>
    <mergeCell ref="A45:F45"/>
    <mergeCell ref="A43:F43"/>
    <mergeCell ref="A54:F54"/>
    <mergeCell ref="A53:F53"/>
    <mergeCell ref="A50:F50"/>
    <mergeCell ref="A48:F48"/>
    <mergeCell ref="A51:F51"/>
    <mergeCell ref="A52:F52"/>
    <mergeCell ref="A49:F49"/>
  </mergeCells>
  <phoneticPr fontId="3" type="noConversion"/>
  <conditionalFormatting sqref="I50:J52 I34:J34 I37:J37 I14:J14 I20:J22">
    <cfRule type="cellIs" dxfId="7" priority="1" stopIfTrue="1" operator="notEqual">
      <formula>ROUND(I14,0)</formula>
    </cfRule>
  </conditionalFormatting>
  <conditionalFormatting sqref="I44:J49 I35:J36 I31:J33 I15:J19">
    <cfRule type="cellIs" dxfId="6" priority="2" stopIfTrue="1" operator="notEqual">
      <formula>ROUND(I15,0)</formula>
    </cfRule>
    <cfRule type="cellIs" dxfId="5" priority="3" stopIfTrue="1" operator="greaterThan">
      <formula>0</formula>
    </cfRule>
  </conditionalFormatting>
  <conditionalFormatting sqref="I39:J43 I24:J30 I53:J54 I9:J13">
    <cfRule type="cellIs" dxfId="4" priority="4" stopIfTrue="1" operator="notEqual">
      <formula>ROUND(I9,0)</formula>
    </cfRule>
    <cfRule type="cellIs" dxfId="3" priority="5" stopIfTrue="1" operator="lessThan">
      <formula>0</formula>
    </cfRule>
  </conditionalFormatting>
  <dataValidations count="4">
    <dataValidation type="whole" operator="greaterThanOrEqual" allowBlank="1" showInputMessage="1" showErrorMessage="1" errorTitle="Pogrešan unos" error="Mogu se unijeti samo cjelobrojne pozitivne vrijednosti." sqref="I23:J23 I38:J38">
      <formula1>0</formula1>
    </dataValidation>
    <dataValidation type="whole" operator="greaterThanOrEqual" allowBlank="1" showInputMessage="1" showErrorMessage="1" errorTitle="Pogrešan upis" error="Dopušten je upis samo pozitivnih cjelobrojnih vrijednosti" sqref="I53:J54 I24:J30 I39:J43 I9:J13">
      <formula1>0</formula1>
    </dataValidation>
    <dataValidation type="whole" operator="lessThanOrEqual" allowBlank="1" showInputMessage="1" showErrorMessage="1" errorTitle="Pogrešan upis" error="Dopušten je upis samo negativnih cjelobrojnih vrijednosti ili nule" sqref="I31:J33 I35:J36 I44:J49 I15:J19">
      <formula1>0</formula1>
    </dataValidation>
    <dataValidation type="whole" operator="notEqual" allowBlank="1" showInputMessage="1" showErrorMessage="1" errorTitle="Pogrešan upis" error="Dopušten je upis samo cjelobrojnih vrijednosti" sqref="I50:J52 I34:J34 I37:J37 I14:J14 I20:J22">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scale="93"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AG87"/>
  <sheetViews>
    <sheetView showGridLines="0" showRowColHeaders="0" workbookViewId="0">
      <pane ySplit="1" topLeftCell="A2" activePane="bottomLeft" state="frozen"/>
      <selection pane="bottomLeft"/>
    </sheetView>
  </sheetViews>
  <sheetFormatPr defaultColWidth="0" defaultRowHeight="11.25" zeroHeight="1" x14ac:dyDescent="0.2"/>
  <cols>
    <col min="1" max="3" width="8.7109375" style="130" customWidth="1"/>
    <col min="4" max="4" width="7.7109375" style="130" customWidth="1"/>
    <col min="5" max="5" width="6.85546875" style="130" customWidth="1"/>
    <col min="6" max="6" width="7.7109375" style="130" customWidth="1"/>
    <col min="7" max="7" width="5.5703125" style="130" customWidth="1"/>
    <col min="8" max="8" width="5.7109375" style="130" customWidth="1"/>
    <col min="9" max="16" width="13.7109375" style="130" customWidth="1"/>
    <col min="17" max="17" width="14.42578125" style="130" customWidth="1"/>
    <col min="18" max="26" width="13.7109375" style="130" customWidth="1"/>
    <col min="27" max="27" width="0.85546875" style="130" customWidth="1"/>
    <col min="28" max="30" width="5.7109375" style="130" hidden="1" customWidth="1"/>
    <col min="31" max="16384" width="0" style="130" hidden="1"/>
  </cols>
  <sheetData>
    <row r="1" spans="1:33" ht="24.95" customHeight="1" thickBot="1" x14ac:dyDescent="0.25">
      <c r="A1" s="139" t="s">
        <v>57</v>
      </c>
      <c r="B1" s="63" t="s">
        <v>56</v>
      </c>
      <c r="C1" s="63" t="s">
        <v>59</v>
      </c>
      <c r="D1" s="63" t="s">
        <v>2328</v>
      </c>
      <c r="E1" s="63" t="s">
        <v>794</v>
      </c>
      <c r="F1" s="63" t="s">
        <v>2824</v>
      </c>
      <c r="G1" s="63" t="s">
        <v>2748</v>
      </c>
      <c r="H1" s="63" t="s">
        <v>2749</v>
      </c>
      <c r="I1" s="63" t="s">
        <v>795</v>
      </c>
      <c r="J1" s="64" t="s">
        <v>58</v>
      </c>
      <c r="AC1" s="130">
        <f>MAX(AC2:AC3)</f>
        <v>0</v>
      </c>
      <c r="AD1" s="130" t="s">
        <v>792</v>
      </c>
    </row>
    <row r="2" spans="1:33" s="3" customFormat="1" ht="20.100000000000001" customHeight="1" x14ac:dyDescent="0.25">
      <c r="A2" s="472" t="s">
        <v>158</v>
      </c>
      <c r="B2" s="472"/>
      <c r="C2" s="472"/>
      <c r="D2" s="472"/>
      <c r="E2" s="472"/>
      <c r="F2" s="472"/>
      <c r="G2" s="473"/>
      <c r="H2" s="473"/>
      <c r="I2" s="131"/>
      <c r="J2" s="131"/>
      <c r="K2" s="131"/>
      <c r="L2" s="131"/>
      <c r="M2" s="131"/>
      <c r="N2" s="131"/>
      <c r="O2" s="132"/>
      <c r="P2" s="389" t="s">
        <v>1214</v>
      </c>
      <c r="Q2" s="461"/>
      <c r="R2" s="461"/>
      <c r="S2" s="461"/>
      <c r="T2" s="461"/>
      <c r="U2" s="461"/>
      <c r="V2" s="461"/>
      <c r="W2" s="461"/>
      <c r="X2" s="461"/>
      <c r="Y2" s="462"/>
      <c r="Z2" s="389" t="s">
        <v>1214</v>
      </c>
      <c r="AC2" s="3">
        <f>IF(OR(MAX(H10:Z33)&lt;&gt;0,MIN(H10:Z33)&lt;&gt;0),1,0)</f>
        <v>0</v>
      </c>
      <c r="AD2" s="3" t="s">
        <v>1216</v>
      </c>
    </row>
    <row r="3" spans="1:33" s="3" customFormat="1" ht="20.100000000000001" customHeight="1" thickBot="1" x14ac:dyDescent="0.25">
      <c r="A3" s="484" t="str">
        <f xml:space="preserve"> "za razdoblje od " &amp; IF(RefStr!C4&lt;&gt;"", TEXT(RefStr!C4, "DD.MM.YYYY."), "__.__.____.") &amp; " do " &amp; IF(RefStr!F4&lt;&gt;"", TEXT(RefStr!F4, "DD.MM.YYYY."),"__.__.____.")</f>
        <v>za razdoblje od 01.01.2021. do 31.12.2021.</v>
      </c>
      <c r="B3" s="484"/>
      <c r="C3" s="484"/>
      <c r="D3" s="484"/>
      <c r="E3" s="484"/>
      <c r="F3" s="484"/>
      <c r="G3" s="485"/>
      <c r="H3" s="485"/>
      <c r="I3" s="131"/>
      <c r="J3" s="131"/>
      <c r="K3" s="131"/>
      <c r="L3" s="131"/>
      <c r="M3" s="131"/>
      <c r="N3" s="131"/>
      <c r="O3" s="132"/>
      <c r="P3" s="437"/>
      <c r="Q3" s="461"/>
      <c r="R3" s="461"/>
      <c r="S3" s="461"/>
      <c r="T3" s="461"/>
      <c r="U3" s="461"/>
      <c r="V3" s="461"/>
      <c r="W3" s="461"/>
      <c r="X3" s="461"/>
      <c r="Y3" s="462"/>
      <c r="Z3" s="471"/>
      <c r="AC3" s="3">
        <f>IF(OR(MAX(H39:Z62)&lt;&gt;0,MIN(H39:Z62)&lt;&gt;0),1,0)</f>
        <v>0</v>
      </c>
      <c r="AD3" s="12" t="s">
        <v>793</v>
      </c>
    </row>
    <row r="4" spans="1:33" s="3" customFormat="1" ht="5.0999999999999996" customHeight="1" x14ac:dyDescent="0.2">
      <c r="A4" s="124"/>
      <c r="B4" s="125"/>
      <c r="C4" s="125"/>
      <c r="D4" s="125"/>
      <c r="E4" s="125"/>
      <c r="F4" s="125"/>
      <c r="G4" s="126"/>
      <c r="H4" s="126"/>
      <c r="I4" s="133"/>
      <c r="Q4" s="127"/>
      <c r="R4" s="127"/>
      <c r="S4" s="127"/>
      <c r="T4" s="127"/>
      <c r="U4" s="127"/>
      <c r="V4" s="127"/>
      <c r="W4" s="127"/>
      <c r="X4" s="127"/>
      <c r="Y4" s="127"/>
    </row>
    <row r="5" spans="1:33" s="3" customFormat="1" ht="15" customHeight="1" x14ac:dyDescent="0.2">
      <c r="A5" s="466" t="str">
        <f>"Obveznik: "&amp;IF(RefStr!C27&lt;&gt;"",RefStr!C27,"________") &amp; "; " &amp; IF(RefStr!C29&lt;&gt;"",RefStr!C29,"________________________________________________________"&amp;"; "&amp;IF(RefStr!F31&lt;&gt;"",RefStr!F31,"_______________"))</f>
        <v>Obveznik: 50327992893; POSLOVNI SUSTAVI d.o.o. RIJEKA</v>
      </c>
      <c r="B5" s="467"/>
      <c r="C5" s="467"/>
      <c r="D5" s="467"/>
      <c r="E5" s="467"/>
      <c r="F5" s="467"/>
      <c r="G5" s="467"/>
      <c r="H5" s="467"/>
      <c r="I5" s="467"/>
      <c r="J5" s="467"/>
      <c r="K5" s="467"/>
      <c r="L5" s="467"/>
      <c r="M5" s="467"/>
      <c r="N5" s="467"/>
      <c r="O5" s="468"/>
      <c r="P5" s="468"/>
      <c r="Q5" s="468"/>
      <c r="R5" s="468"/>
      <c r="S5" s="468"/>
      <c r="T5" s="468"/>
      <c r="U5" s="468"/>
      <c r="V5" s="468"/>
      <c r="W5" s="468"/>
      <c r="X5" s="468"/>
      <c r="Y5" s="468"/>
      <c r="Z5" s="469"/>
      <c r="AC5" s="3">
        <f>IF(OR(MAX(Y10:Y33)&lt;&gt;0,MIN(Y10:Y33)&lt;&gt;0),1,0)</f>
        <v>0</v>
      </c>
      <c r="AD5" s="12" t="s">
        <v>2651</v>
      </c>
    </row>
    <row r="6" spans="1:33" s="3" customFormat="1" ht="15" customHeight="1" thickBot="1" x14ac:dyDescent="0.25">
      <c r="A6" s="455" t="s">
        <v>617</v>
      </c>
      <c r="B6" s="478"/>
      <c r="C6" s="478"/>
      <c r="D6" s="478"/>
      <c r="E6" s="478"/>
      <c r="F6" s="478"/>
      <c r="G6" s="456" t="s">
        <v>633</v>
      </c>
      <c r="H6" s="401" t="s">
        <v>2275</v>
      </c>
      <c r="I6" s="456" t="s">
        <v>615</v>
      </c>
      <c r="J6" s="456"/>
      <c r="K6" s="456"/>
      <c r="L6" s="456"/>
      <c r="M6" s="456"/>
      <c r="N6" s="456"/>
      <c r="O6" s="456"/>
      <c r="P6" s="456"/>
      <c r="Q6" s="456"/>
      <c r="R6" s="456"/>
      <c r="S6" s="456"/>
      <c r="T6" s="456"/>
      <c r="U6" s="456"/>
      <c r="V6" s="456"/>
      <c r="W6" s="456"/>
      <c r="X6" s="456"/>
      <c r="Y6" s="456" t="s">
        <v>1217</v>
      </c>
      <c r="Z6" s="474" t="s">
        <v>616</v>
      </c>
      <c r="AC6" s="3">
        <f>IF(OR(MAX(Y39:Y62)&lt;&gt;0,MIN(Y39:Y62)&lt;&gt;0),1,0)</f>
        <v>0</v>
      </c>
      <c r="AD6" s="12" t="s">
        <v>710</v>
      </c>
    </row>
    <row r="7" spans="1:33" s="3" customFormat="1" ht="68.099999999999994" customHeight="1" thickBot="1" x14ac:dyDescent="0.25">
      <c r="A7" s="479"/>
      <c r="B7" s="480"/>
      <c r="C7" s="480"/>
      <c r="D7" s="480"/>
      <c r="E7" s="480"/>
      <c r="F7" s="480"/>
      <c r="G7" s="470"/>
      <c r="H7" s="470"/>
      <c r="I7" s="109" t="s">
        <v>619</v>
      </c>
      <c r="J7" s="109" t="s">
        <v>620</v>
      </c>
      <c r="K7" s="109" t="s">
        <v>621</v>
      </c>
      <c r="L7" s="109" t="s">
        <v>624</v>
      </c>
      <c r="M7" s="109" t="s">
        <v>625</v>
      </c>
      <c r="N7" s="109" t="s">
        <v>622</v>
      </c>
      <c r="O7" s="109" t="s">
        <v>626</v>
      </c>
      <c r="P7" s="109" t="s">
        <v>623</v>
      </c>
      <c r="Q7" s="109" t="s">
        <v>1727</v>
      </c>
      <c r="R7" s="109" t="s">
        <v>627</v>
      </c>
      <c r="S7" s="109" t="s">
        <v>628</v>
      </c>
      <c r="T7" s="109" t="s">
        <v>1728</v>
      </c>
      <c r="U7" s="109" t="s">
        <v>1729</v>
      </c>
      <c r="V7" s="109" t="s">
        <v>629</v>
      </c>
      <c r="W7" s="109" t="s">
        <v>630</v>
      </c>
      <c r="X7" s="109" t="s">
        <v>631</v>
      </c>
      <c r="Y7" s="470"/>
      <c r="Z7" s="475"/>
      <c r="AC7" s="3">
        <f>IF(RefStr!N19="MSFI",1,0)</f>
        <v>0</v>
      </c>
      <c r="AD7" s="12" t="s">
        <v>315</v>
      </c>
    </row>
    <row r="8" spans="1:33" s="3" customFormat="1" ht="23.25" customHeight="1" x14ac:dyDescent="0.2">
      <c r="A8" s="486">
        <v>1</v>
      </c>
      <c r="B8" s="487"/>
      <c r="C8" s="487"/>
      <c r="D8" s="487"/>
      <c r="E8" s="487"/>
      <c r="F8" s="487"/>
      <c r="G8" s="110">
        <v>2</v>
      </c>
      <c r="H8" s="96">
        <v>3</v>
      </c>
      <c r="I8" s="97">
        <v>4</v>
      </c>
      <c r="J8" s="96">
        <v>5</v>
      </c>
      <c r="K8" s="97">
        <v>6</v>
      </c>
      <c r="L8" s="96">
        <v>7</v>
      </c>
      <c r="M8" s="97">
        <v>8</v>
      </c>
      <c r="N8" s="96">
        <v>9</v>
      </c>
      <c r="O8" s="97">
        <v>10</v>
      </c>
      <c r="P8" s="96">
        <v>11</v>
      </c>
      <c r="Q8" s="97">
        <v>12</v>
      </c>
      <c r="R8" s="96">
        <v>13</v>
      </c>
      <c r="S8" s="97">
        <v>14</v>
      </c>
      <c r="T8" s="96">
        <v>15</v>
      </c>
      <c r="U8" s="97">
        <v>16</v>
      </c>
      <c r="V8" s="96">
        <v>17</v>
      </c>
      <c r="W8" s="97">
        <v>18</v>
      </c>
      <c r="X8" s="221" t="s">
        <v>2557</v>
      </c>
      <c r="Y8" s="97" t="s">
        <v>1730</v>
      </c>
      <c r="Z8" s="111" t="s">
        <v>2558</v>
      </c>
    </row>
    <row r="9" spans="1:33" s="3" customFormat="1" ht="15.95" customHeight="1" x14ac:dyDescent="0.2">
      <c r="A9" s="463" t="s">
        <v>618</v>
      </c>
      <c r="B9" s="463"/>
      <c r="C9" s="463"/>
      <c r="D9" s="463"/>
      <c r="E9" s="463"/>
      <c r="F9" s="463"/>
      <c r="G9" s="463"/>
      <c r="H9" s="463"/>
      <c r="I9" s="463"/>
      <c r="J9" s="463"/>
      <c r="K9" s="463"/>
      <c r="L9" s="463"/>
      <c r="M9" s="463"/>
      <c r="N9" s="463"/>
      <c r="O9" s="464"/>
      <c r="P9" s="464"/>
      <c r="Q9" s="464"/>
      <c r="R9" s="464"/>
      <c r="S9" s="464"/>
      <c r="T9" s="464"/>
      <c r="U9" s="464"/>
      <c r="V9" s="464"/>
      <c r="W9" s="464"/>
      <c r="X9" s="464"/>
      <c r="Y9" s="464"/>
      <c r="Z9" s="465"/>
      <c r="AD9" s="134"/>
      <c r="AE9" s="135"/>
      <c r="AF9" s="134"/>
      <c r="AG9" s="135"/>
    </row>
    <row r="10" spans="1:33" s="3" customFormat="1" ht="14.1" customHeight="1" x14ac:dyDescent="0.2">
      <c r="A10" s="477" t="s">
        <v>498</v>
      </c>
      <c r="B10" s="477"/>
      <c r="C10" s="477"/>
      <c r="D10" s="477"/>
      <c r="E10" s="477"/>
      <c r="F10" s="477"/>
      <c r="G10" s="199">
        <v>1</v>
      </c>
      <c r="H10" s="128"/>
      <c r="I10" s="21"/>
      <c r="J10" s="21"/>
      <c r="K10" s="21"/>
      <c r="L10" s="21"/>
      <c r="M10" s="21"/>
      <c r="N10" s="21"/>
      <c r="O10" s="21"/>
      <c r="P10" s="21"/>
      <c r="Q10" s="21"/>
      <c r="R10" s="21"/>
      <c r="S10" s="21"/>
      <c r="T10" s="21"/>
      <c r="U10" s="21"/>
      <c r="V10" s="21"/>
      <c r="W10" s="21"/>
      <c r="X10" s="202">
        <f>SUM(I10:L10)-M10+SUM(N10:W10)</f>
        <v>0</v>
      </c>
      <c r="Y10" s="21"/>
      <c r="Z10" s="202">
        <f>Y10+X10</f>
        <v>0</v>
      </c>
      <c r="AD10" s="135"/>
      <c r="AE10" s="135"/>
      <c r="AF10" s="135"/>
      <c r="AG10" s="135"/>
    </row>
    <row r="11" spans="1:33" s="3" customFormat="1" ht="14.1" customHeight="1" x14ac:dyDescent="0.2">
      <c r="A11" s="476" t="s">
        <v>499</v>
      </c>
      <c r="B11" s="476"/>
      <c r="C11" s="476"/>
      <c r="D11" s="476"/>
      <c r="E11" s="476"/>
      <c r="F11" s="476"/>
      <c r="G11" s="199">
        <v>2</v>
      </c>
      <c r="H11" s="128"/>
      <c r="I11" s="21"/>
      <c r="J11" s="21"/>
      <c r="K11" s="21"/>
      <c r="L11" s="21"/>
      <c r="M11" s="21"/>
      <c r="N11" s="21"/>
      <c r="O11" s="21"/>
      <c r="P11" s="21"/>
      <c r="Q11" s="21"/>
      <c r="R11" s="21"/>
      <c r="S11" s="21"/>
      <c r="T11" s="21"/>
      <c r="U11" s="21"/>
      <c r="V11" s="21"/>
      <c r="W11" s="21"/>
      <c r="X11" s="202">
        <f t="shared" ref="X11:X33" si="0">SUM(I11:L11)-M11+SUM(N11:W11)</f>
        <v>0</v>
      </c>
      <c r="Y11" s="21"/>
      <c r="Z11" s="202">
        <f t="shared" ref="Z11:Z62" si="1">Y11+X11</f>
        <v>0</v>
      </c>
      <c r="AD11" s="134"/>
      <c r="AE11" s="134"/>
      <c r="AF11" s="134"/>
      <c r="AG11" s="135"/>
    </row>
    <row r="12" spans="1:33" s="3" customFormat="1" ht="14.1" customHeight="1" x14ac:dyDescent="0.2">
      <c r="A12" s="476" t="s">
        <v>500</v>
      </c>
      <c r="B12" s="476"/>
      <c r="C12" s="476"/>
      <c r="D12" s="476"/>
      <c r="E12" s="476"/>
      <c r="F12" s="476"/>
      <c r="G12" s="199">
        <v>3</v>
      </c>
      <c r="H12" s="128"/>
      <c r="I12" s="21"/>
      <c r="J12" s="21"/>
      <c r="K12" s="21"/>
      <c r="L12" s="21"/>
      <c r="M12" s="21"/>
      <c r="N12" s="21"/>
      <c r="O12" s="21"/>
      <c r="P12" s="21"/>
      <c r="Q12" s="21"/>
      <c r="R12" s="21"/>
      <c r="S12" s="21"/>
      <c r="T12" s="21"/>
      <c r="U12" s="21"/>
      <c r="V12" s="21"/>
      <c r="W12" s="21"/>
      <c r="X12" s="202">
        <f t="shared" si="0"/>
        <v>0</v>
      </c>
      <c r="Y12" s="21"/>
      <c r="Z12" s="202">
        <f t="shared" si="1"/>
        <v>0</v>
      </c>
      <c r="AD12" s="136"/>
      <c r="AE12" s="136"/>
      <c r="AF12" s="136"/>
      <c r="AG12" s="135"/>
    </row>
    <row r="13" spans="1:33" s="3" customFormat="1" ht="14.1" customHeight="1" x14ac:dyDescent="0.2">
      <c r="A13" s="477" t="s">
        <v>501</v>
      </c>
      <c r="B13" s="477"/>
      <c r="C13" s="477"/>
      <c r="D13" s="477"/>
      <c r="E13" s="477"/>
      <c r="F13" s="477"/>
      <c r="G13" s="199">
        <v>4</v>
      </c>
      <c r="H13" s="128"/>
      <c r="I13" s="202">
        <f>SUM(I10:I12)</f>
        <v>0</v>
      </c>
      <c r="J13" s="202">
        <f t="shared" ref="J13:W13" si="2">SUM(J10:J12)</f>
        <v>0</v>
      </c>
      <c r="K13" s="202">
        <f t="shared" si="2"/>
        <v>0</v>
      </c>
      <c r="L13" s="202">
        <f t="shared" si="2"/>
        <v>0</v>
      </c>
      <c r="M13" s="202">
        <f t="shared" si="2"/>
        <v>0</v>
      </c>
      <c r="N13" s="202">
        <f t="shared" si="2"/>
        <v>0</v>
      </c>
      <c r="O13" s="202">
        <f t="shared" si="2"/>
        <v>0</v>
      </c>
      <c r="P13" s="202">
        <f t="shared" si="2"/>
        <v>0</v>
      </c>
      <c r="Q13" s="202">
        <f t="shared" si="2"/>
        <v>0</v>
      </c>
      <c r="R13" s="202">
        <f t="shared" si="2"/>
        <v>0</v>
      </c>
      <c r="S13" s="202">
        <f t="shared" si="2"/>
        <v>0</v>
      </c>
      <c r="T13" s="202">
        <f>SUM(T10:T12)</f>
        <v>0</v>
      </c>
      <c r="U13" s="202">
        <f>SUM(U10:U12)</f>
        <v>0</v>
      </c>
      <c r="V13" s="202">
        <f t="shared" si="2"/>
        <v>0</v>
      </c>
      <c r="W13" s="202">
        <f t="shared" si="2"/>
        <v>0</v>
      </c>
      <c r="X13" s="202">
        <f t="shared" si="0"/>
        <v>0</v>
      </c>
      <c r="Y13" s="202">
        <f>SUM(Y10:Y12)</f>
        <v>0</v>
      </c>
      <c r="Z13" s="202">
        <f t="shared" si="1"/>
        <v>0</v>
      </c>
      <c r="AD13" s="136"/>
      <c r="AE13" s="136"/>
      <c r="AF13" s="136"/>
      <c r="AG13" s="135"/>
    </row>
    <row r="14" spans="1:33" s="3" customFormat="1" ht="14.1" customHeight="1" x14ac:dyDescent="0.2">
      <c r="A14" s="476" t="s">
        <v>502</v>
      </c>
      <c r="B14" s="476"/>
      <c r="C14" s="476"/>
      <c r="D14" s="476"/>
      <c r="E14" s="476"/>
      <c r="F14" s="476"/>
      <c r="G14" s="199">
        <v>5</v>
      </c>
      <c r="H14" s="128"/>
      <c r="I14" s="212"/>
      <c r="J14" s="212"/>
      <c r="K14" s="212"/>
      <c r="L14" s="212"/>
      <c r="M14" s="212"/>
      <c r="N14" s="212"/>
      <c r="O14" s="212"/>
      <c r="P14" s="212"/>
      <c r="Q14" s="212"/>
      <c r="R14" s="212"/>
      <c r="S14" s="212"/>
      <c r="T14" s="212"/>
      <c r="U14" s="212"/>
      <c r="V14" s="212"/>
      <c r="W14" s="21"/>
      <c r="X14" s="202">
        <f t="shared" si="0"/>
        <v>0</v>
      </c>
      <c r="Y14" s="21"/>
      <c r="Z14" s="202">
        <f t="shared" si="1"/>
        <v>0</v>
      </c>
      <c r="AD14" s="136"/>
      <c r="AE14" s="136"/>
      <c r="AF14" s="136"/>
      <c r="AG14" s="135"/>
    </row>
    <row r="15" spans="1:33" s="3" customFormat="1" ht="14.1" customHeight="1" x14ac:dyDescent="0.2">
      <c r="A15" s="476" t="s">
        <v>503</v>
      </c>
      <c r="B15" s="476"/>
      <c r="C15" s="476"/>
      <c r="D15" s="476"/>
      <c r="E15" s="476"/>
      <c r="F15" s="476"/>
      <c r="G15" s="199">
        <v>6</v>
      </c>
      <c r="H15" s="128"/>
      <c r="I15" s="212"/>
      <c r="J15" s="212"/>
      <c r="K15" s="212"/>
      <c r="L15" s="212"/>
      <c r="M15" s="212"/>
      <c r="N15" s="212"/>
      <c r="O15" s="21"/>
      <c r="P15" s="212"/>
      <c r="Q15" s="212"/>
      <c r="R15" s="212"/>
      <c r="S15" s="212"/>
      <c r="T15" s="212"/>
      <c r="U15" s="212"/>
      <c r="V15" s="212"/>
      <c r="W15" s="212"/>
      <c r="X15" s="202">
        <f t="shared" si="0"/>
        <v>0</v>
      </c>
      <c r="Y15" s="21"/>
      <c r="Z15" s="202">
        <f t="shared" si="1"/>
        <v>0</v>
      </c>
      <c r="AD15" s="137"/>
      <c r="AE15" s="137"/>
      <c r="AF15" s="137"/>
      <c r="AG15" s="135"/>
    </row>
    <row r="16" spans="1:33" s="3" customFormat="1" ht="24" customHeight="1" x14ac:dyDescent="0.2">
      <c r="A16" s="476" t="s">
        <v>2544</v>
      </c>
      <c r="B16" s="476"/>
      <c r="C16" s="476"/>
      <c r="D16" s="476"/>
      <c r="E16" s="476"/>
      <c r="F16" s="476"/>
      <c r="G16" s="199">
        <v>7</v>
      </c>
      <c r="H16" s="128"/>
      <c r="I16" s="212"/>
      <c r="J16" s="212"/>
      <c r="K16" s="212"/>
      <c r="L16" s="212"/>
      <c r="M16" s="212"/>
      <c r="N16" s="212"/>
      <c r="O16" s="212"/>
      <c r="P16" s="21"/>
      <c r="Q16" s="212"/>
      <c r="R16" s="212"/>
      <c r="S16" s="212"/>
      <c r="T16" s="212"/>
      <c r="U16" s="212"/>
      <c r="V16" s="21"/>
      <c r="W16" s="21"/>
      <c r="X16" s="202">
        <f t="shared" si="0"/>
        <v>0</v>
      </c>
      <c r="Y16" s="21"/>
      <c r="Z16" s="202">
        <f t="shared" si="1"/>
        <v>0</v>
      </c>
      <c r="AD16" s="137"/>
      <c r="AE16" s="137"/>
      <c r="AF16" s="137"/>
      <c r="AG16" s="135"/>
    </row>
    <row r="17" spans="1:33" s="3" customFormat="1" ht="35.1" customHeight="1" x14ac:dyDescent="0.2">
      <c r="A17" s="476" t="s">
        <v>2545</v>
      </c>
      <c r="B17" s="476"/>
      <c r="C17" s="476"/>
      <c r="D17" s="476"/>
      <c r="E17" s="476"/>
      <c r="F17" s="476"/>
      <c r="G17" s="199">
        <v>8</v>
      </c>
      <c r="H17" s="128"/>
      <c r="I17" s="212"/>
      <c r="J17" s="212"/>
      <c r="K17" s="212"/>
      <c r="L17" s="212"/>
      <c r="M17" s="212"/>
      <c r="N17" s="212"/>
      <c r="O17" s="212"/>
      <c r="P17" s="212"/>
      <c r="Q17" s="21"/>
      <c r="R17" s="212"/>
      <c r="S17" s="212"/>
      <c r="T17" s="212"/>
      <c r="U17" s="212"/>
      <c r="V17" s="21"/>
      <c r="W17" s="21"/>
      <c r="X17" s="202">
        <f t="shared" si="0"/>
        <v>0</v>
      </c>
      <c r="Y17" s="21"/>
      <c r="Z17" s="202">
        <f t="shared" si="1"/>
        <v>0</v>
      </c>
      <c r="AD17" s="137"/>
      <c r="AE17" s="137"/>
      <c r="AF17" s="137"/>
      <c r="AG17" s="135"/>
    </row>
    <row r="18" spans="1:33" s="3" customFormat="1" ht="14.1" customHeight="1" x14ac:dyDescent="0.2">
      <c r="A18" s="476" t="s">
        <v>2546</v>
      </c>
      <c r="B18" s="476"/>
      <c r="C18" s="476"/>
      <c r="D18" s="476"/>
      <c r="E18" s="476"/>
      <c r="F18" s="476"/>
      <c r="G18" s="199">
        <v>9</v>
      </c>
      <c r="H18" s="128"/>
      <c r="I18" s="212"/>
      <c r="J18" s="212"/>
      <c r="K18" s="212"/>
      <c r="L18" s="212"/>
      <c r="M18" s="212"/>
      <c r="N18" s="212"/>
      <c r="O18" s="212"/>
      <c r="P18" s="212"/>
      <c r="Q18" s="212"/>
      <c r="R18" s="21"/>
      <c r="S18" s="212"/>
      <c r="T18" s="212"/>
      <c r="U18" s="212"/>
      <c r="V18" s="21"/>
      <c r="W18" s="21"/>
      <c r="X18" s="202">
        <f t="shared" si="0"/>
        <v>0</v>
      </c>
      <c r="Y18" s="21"/>
      <c r="Z18" s="202">
        <f t="shared" si="1"/>
        <v>0</v>
      </c>
      <c r="AD18" s="136"/>
      <c r="AE18" s="136"/>
      <c r="AF18" s="136"/>
      <c r="AG18" s="135"/>
    </row>
    <row r="19" spans="1:33" s="3" customFormat="1" ht="24" customHeight="1" x14ac:dyDescent="0.2">
      <c r="A19" s="476" t="s">
        <v>508</v>
      </c>
      <c r="B19" s="476"/>
      <c r="C19" s="476"/>
      <c r="D19" s="476"/>
      <c r="E19" s="476"/>
      <c r="F19" s="476"/>
      <c r="G19" s="199">
        <v>10</v>
      </c>
      <c r="H19" s="128"/>
      <c r="I19" s="212"/>
      <c r="J19" s="212"/>
      <c r="K19" s="212"/>
      <c r="L19" s="212"/>
      <c r="M19" s="212"/>
      <c r="N19" s="212"/>
      <c r="O19" s="212"/>
      <c r="P19" s="212"/>
      <c r="Q19" s="212"/>
      <c r="R19" s="212"/>
      <c r="S19" s="21"/>
      <c r="T19" s="21"/>
      <c r="U19" s="21"/>
      <c r="V19" s="21"/>
      <c r="W19" s="21"/>
      <c r="X19" s="202">
        <f t="shared" si="0"/>
        <v>0</v>
      </c>
      <c r="Y19" s="21"/>
      <c r="Z19" s="202">
        <f t="shared" si="1"/>
        <v>0</v>
      </c>
      <c r="AD19" s="137"/>
      <c r="AE19" s="137"/>
      <c r="AF19" s="137"/>
      <c r="AG19" s="135"/>
    </row>
    <row r="20" spans="1:33" s="3" customFormat="1" ht="24" customHeight="1" x14ac:dyDescent="0.2">
      <c r="A20" s="476" t="s">
        <v>2547</v>
      </c>
      <c r="B20" s="476"/>
      <c r="C20" s="476"/>
      <c r="D20" s="476"/>
      <c r="E20" s="476"/>
      <c r="F20" s="476"/>
      <c r="G20" s="199">
        <v>11</v>
      </c>
      <c r="H20" s="128"/>
      <c r="I20" s="212"/>
      <c r="J20" s="212"/>
      <c r="K20" s="212"/>
      <c r="L20" s="212"/>
      <c r="M20" s="212"/>
      <c r="N20" s="212"/>
      <c r="O20" s="21"/>
      <c r="P20" s="21"/>
      <c r="Q20" s="21"/>
      <c r="R20" s="21"/>
      <c r="S20" s="21"/>
      <c r="T20" s="21"/>
      <c r="U20" s="21"/>
      <c r="V20" s="21"/>
      <c r="W20" s="21"/>
      <c r="X20" s="202">
        <f t="shared" si="0"/>
        <v>0</v>
      </c>
      <c r="Y20" s="21"/>
      <c r="Z20" s="202">
        <f t="shared" si="1"/>
        <v>0</v>
      </c>
      <c r="AD20" s="137"/>
      <c r="AE20" s="137"/>
      <c r="AF20" s="137"/>
      <c r="AG20" s="135"/>
    </row>
    <row r="21" spans="1:33" s="3" customFormat="1" ht="14.1" customHeight="1" x14ac:dyDescent="0.2">
      <c r="A21" s="476" t="s">
        <v>1140</v>
      </c>
      <c r="B21" s="476"/>
      <c r="C21" s="476"/>
      <c r="D21" s="476"/>
      <c r="E21" s="476"/>
      <c r="F21" s="476"/>
      <c r="G21" s="199">
        <v>12</v>
      </c>
      <c r="H21" s="128"/>
      <c r="I21" s="212"/>
      <c r="J21" s="212"/>
      <c r="K21" s="212"/>
      <c r="L21" s="212"/>
      <c r="M21" s="212"/>
      <c r="N21" s="212"/>
      <c r="O21" s="21"/>
      <c r="P21" s="21"/>
      <c r="Q21" s="21"/>
      <c r="R21" s="21"/>
      <c r="S21" s="21"/>
      <c r="T21" s="21"/>
      <c r="U21" s="21"/>
      <c r="V21" s="21"/>
      <c r="W21" s="21"/>
      <c r="X21" s="202">
        <f t="shared" si="0"/>
        <v>0</v>
      </c>
      <c r="Y21" s="21"/>
      <c r="Z21" s="202">
        <f t="shared" si="1"/>
        <v>0</v>
      </c>
      <c r="AD21" s="137"/>
      <c r="AE21" s="137"/>
      <c r="AF21" s="137"/>
      <c r="AG21" s="135"/>
    </row>
    <row r="22" spans="1:33" s="3" customFormat="1" ht="14.1" customHeight="1" x14ac:dyDescent="0.2">
      <c r="A22" s="476" t="s">
        <v>1141</v>
      </c>
      <c r="B22" s="476"/>
      <c r="C22" s="476"/>
      <c r="D22" s="476"/>
      <c r="E22" s="476"/>
      <c r="F22" s="476"/>
      <c r="G22" s="199">
        <v>13</v>
      </c>
      <c r="H22" s="128"/>
      <c r="I22" s="21"/>
      <c r="J22" s="21"/>
      <c r="K22" s="21"/>
      <c r="L22" s="21"/>
      <c r="M22" s="21"/>
      <c r="N22" s="21"/>
      <c r="O22" s="21"/>
      <c r="P22" s="21"/>
      <c r="Q22" s="21"/>
      <c r="R22" s="21"/>
      <c r="S22" s="21"/>
      <c r="T22" s="21"/>
      <c r="U22" s="21"/>
      <c r="V22" s="21"/>
      <c r="W22" s="21"/>
      <c r="X22" s="202">
        <f t="shared" si="0"/>
        <v>0</v>
      </c>
      <c r="Y22" s="21"/>
      <c r="Z22" s="202">
        <f t="shared" si="1"/>
        <v>0</v>
      </c>
      <c r="AD22" s="135"/>
      <c r="AE22" s="130"/>
    </row>
    <row r="23" spans="1:33" s="3" customFormat="1" ht="14.1" customHeight="1" x14ac:dyDescent="0.2">
      <c r="A23" s="476" t="s">
        <v>1142</v>
      </c>
      <c r="B23" s="476"/>
      <c r="C23" s="476"/>
      <c r="D23" s="476"/>
      <c r="E23" s="476"/>
      <c r="F23" s="476"/>
      <c r="G23" s="199">
        <v>14</v>
      </c>
      <c r="H23" s="128"/>
      <c r="I23" s="212"/>
      <c r="J23" s="212"/>
      <c r="K23" s="212"/>
      <c r="L23" s="212"/>
      <c r="M23" s="212"/>
      <c r="N23" s="212"/>
      <c r="O23" s="21"/>
      <c r="P23" s="21"/>
      <c r="Q23" s="21"/>
      <c r="R23" s="21"/>
      <c r="S23" s="21"/>
      <c r="T23" s="21"/>
      <c r="U23" s="21"/>
      <c r="V23" s="21"/>
      <c r="W23" s="21"/>
      <c r="X23" s="202">
        <f t="shared" si="0"/>
        <v>0</v>
      </c>
      <c r="Y23" s="21"/>
      <c r="Z23" s="202">
        <f t="shared" si="1"/>
        <v>0</v>
      </c>
      <c r="AD23" s="135"/>
      <c r="AE23" s="130"/>
    </row>
    <row r="24" spans="1:33" s="3" customFormat="1" ht="24" customHeight="1" x14ac:dyDescent="0.2">
      <c r="A24" s="476" t="s">
        <v>2548</v>
      </c>
      <c r="B24" s="476"/>
      <c r="C24" s="476"/>
      <c r="D24" s="476"/>
      <c r="E24" s="476"/>
      <c r="F24" s="476"/>
      <c r="G24" s="199">
        <v>15</v>
      </c>
      <c r="H24" s="128"/>
      <c r="I24" s="21"/>
      <c r="J24" s="21"/>
      <c r="K24" s="21"/>
      <c r="L24" s="21"/>
      <c r="M24" s="21"/>
      <c r="N24" s="21"/>
      <c r="O24" s="21"/>
      <c r="P24" s="21"/>
      <c r="Q24" s="21"/>
      <c r="R24" s="21"/>
      <c r="S24" s="21"/>
      <c r="T24" s="21"/>
      <c r="U24" s="21"/>
      <c r="V24" s="21"/>
      <c r="W24" s="21"/>
      <c r="X24" s="202">
        <f t="shared" si="0"/>
        <v>0</v>
      </c>
      <c r="Y24" s="21"/>
      <c r="Z24" s="202">
        <f t="shared" si="1"/>
        <v>0</v>
      </c>
      <c r="AD24" s="135"/>
      <c r="AE24" s="130"/>
    </row>
    <row r="25" spans="1:33" s="3" customFormat="1" ht="24" customHeight="1" x14ac:dyDescent="0.2">
      <c r="A25" s="476" t="s">
        <v>2559</v>
      </c>
      <c r="B25" s="476"/>
      <c r="C25" s="476"/>
      <c r="D25" s="476"/>
      <c r="E25" s="476"/>
      <c r="F25" s="476"/>
      <c r="G25" s="199">
        <v>16</v>
      </c>
      <c r="H25" s="128"/>
      <c r="I25" s="21"/>
      <c r="J25" s="21"/>
      <c r="K25" s="21"/>
      <c r="L25" s="21"/>
      <c r="M25" s="21"/>
      <c r="N25" s="21"/>
      <c r="O25" s="21"/>
      <c r="P25" s="21"/>
      <c r="Q25" s="21"/>
      <c r="R25" s="21"/>
      <c r="S25" s="21"/>
      <c r="T25" s="21"/>
      <c r="U25" s="21"/>
      <c r="V25" s="21"/>
      <c r="W25" s="21"/>
      <c r="X25" s="202">
        <f t="shared" si="0"/>
        <v>0</v>
      </c>
      <c r="Y25" s="21"/>
      <c r="Z25" s="202">
        <f t="shared" si="1"/>
        <v>0</v>
      </c>
      <c r="AD25" s="135"/>
      <c r="AE25" s="130"/>
    </row>
    <row r="26" spans="1:33" s="3" customFormat="1" ht="24" customHeight="1" x14ac:dyDescent="0.2">
      <c r="A26" s="476" t="s">
        <v>2549</v>
      </c>
      <c r="B26" s="476"/>
      <c r="C26" s="476"/>
      <c r="D26" s="476"/>
      <c r="E26" s="476"/>
      <c r="F26" s="476"/>
      <c r="G26" s="199">
        <v>17</v>
      </c>
      <c r="H26" s="128"/>
      <c r="I26" s="21"/>
      <c r="J26" s="21"/>
      <c r="K26" s="21"/>
      <c r="L26" s="21"/>
      <c r="M26" s="21"/>
      <c r="N26" s="21"/>
      <c r="O26" s="21"/>
      <c r="P26" s="21"/>
      <c r="Q26" s="21"/>
      <c r="R26" s="21"/>
      <c r="S26" s="21"/>
      <c r="T26" s="21"/>
      <c r="U26" s="21"/>
      <c r="V26" s="21"/>
      <c r="W26" s="21"/>
      <c r="X26" s="202">
        <f t="shared" si="0"/>
        <v>0</v>
      </c>
      <c r="Y26" s="21"/>
      <c r="Z26" s="202">
        <f t="shared" si="1"/>
        <v>0</v>
      </c>
      <c r="AD26" s="135"/>
      <c r="AE26" s="130"/>
    </row>
    <row r="27" spans="1:33" ht="14.1" customHeight="1" x14ac:dyDescent="0.2">
      <c r="A27" s="476" t="s">
        <v>1143</v>
      </c>
      <c r="B27" s="476"/>
      <c r="C27" s="476"/>
      <c r="D27" s="476"/>
      <c r="E27" s="476"/>
      <c r="F27" s="476"/>
      <c r="G27" s="199">
        <v>18</v>
      </c>
      <c r="H27" s="128"/>
      <c r="I27" s="21"/>
      <c r="J27" s="21"/>
      <c r="K27" s="21"/>
      <c r="L27" s="21"/>
      <c r="M27" s="21"/>
      <c r="N27" s="21"/>
      <c r="O27" s="21"/>
      <c r="P27" s="21"/>
      <c r="Q27" s="21"/>
      <c r="R27" s="21"/>
      <c r="S27" s="21"/>
      <c r="T27" s="21"/>
      <c r="U27" s="21"/>
      <c r="V27" s="21"/>
      <c r="W27" s="21"/>
      <c r="X27" s="202">
        <f t="shared" si="0"/>
        <v>0</v>
      </c>
      <c r="Y27" s="21"/>
      <c r="Z27" s="202">
        <f t="shared" si="1"/>
        <v>0</v>
      </c>
      <c r="AD27" s="135"/>
    </row>
    <row r="28" spans="1:33" ht="14.1" customHeight="1" x14ac:dyDescent="0.2">
      <c r="A28" s="476" t="s">
        <v>1731</v>
      </c>
      <c r="B28" s="476"/>
      <c r="C28" s="476"/>
      <c r="D28" s="476"/>
      <c r="E28" s="476"/>
      <c r="F28" s="476"/>
      <c r="G28" s="199">
        <v>19</v>
      </c>
      <c r="H28" s="128"/>
      <c r="I28" s="21"/>
      <c r="J28" s="21"/>
      <c r="K28" s="21"/>
      <c r="L28" s="21"/>
      <c r="M28" s="21"/>
      <c r="N28" s="21"/>
      <c r="O28" s="21"/>
      <c r="P28" s="21"/>
      <c r="Q28" s="21"/>
      <c r="R28" s="21"/>
      <c r="S28" s="21"/>
      <c r="T28" s="21"/>
      <c r="U28" s="21"/>
      <c r="V28" s="21"/>
      <c r="W28" s="21"/>
      <c r="X28" s="202">
        <f>SUM(I28:L28)-M28+SUM(N28:W28)</f>
        <v>0</v>
      </c>
      <c r="Y28" s="21"/>
      <c r="Z28" s="202">
        <f>Y28+X28</f>
        <v>0</v>
      </c>
      <c r="AD28" s="135"/>
    </row>
    <row r="29" spans="1:33" ht="14.1" customHeight="1" x14ac:dyDescent="0.2">
      <c r="A29" s="476" t="s">
        <v>1732</v>
      </c>
      <c r="B29" s="476"/>
      <c r="C29" s="476"/>
      <c r="D29" s="476"/>
      <c r="E29" s="476"/>
      <c r="F29" s="476"/>
      <c r="G29" s="199">
        <v>20</v>
      </c>
      <c r="H29" s="128"/>
      <c r="I29" s="21"/>
      <c r="J29" s="21"/>
      <c r="K29" s="21"/>
      <c r="L29" s="21"/>
      <c r="M29" s="21"/>
      <c r="N29" s="21"/>
      <c r="O29" s="21"/>
      <c r="P29" s="21"/>
      <c r="Q29" s="21"/>
      <c r="R29" s="21"/>
      <c r="S29" s="21"/>
      <c r="T29" s="21"/>
      <c r="U29" s="21"/>
      <c r="V29" s="21"/>
      <c r="W29" s="21"/>
      <c r="X29" s="202">
        <f t="shared" si="0"/>
        <v>0</v>
      </c>
      <c r="Y29" s="21"/>
      <c r="Z29" s="202">
        <f t="shared" si="1"/>
        <v>0</v>
      </c>
      <c r="AD29" s="135"/>
    </row>
    <row r="30" spans="1:33" ht="14.1" customHeight="1" x14ac:dyDescent="0.2">
      <c r="A30" s="476" t="s">
        <v>486</v>
      </c>
      <c r="B30" s="476"/>
      <c r="C30" s="476"/>
      <c r="D30" s="476"/>
      <c r="E30" s="476"/>
      <c r="F30" s="476"/>
      <c r="G30" s="199">
        <v>21</v>
      </c>
      <c r="H30" s="128"/>
      <c r="I30" s="21"/>
      <c r="J30" s="21"/>
      <c r="K30" s="21"/>
      <c r="L30" s="21"/>
      <c r="M30" s="21"/>
      <c r="N30" s="21"/>
      <c r="O30" s="21"/>
      <c r="P30" s="21"/>
      <c r="Q30" s="21"/>
      <c r="R30" s="21"/>
      <c r="S30" s="21"/>
      <c r="T30" s="21"/>
      <c r="U30" s="21"/>
      <c r="V30" s="21"/>
      <c r="W30" s="21"/>
      <c r="X30" s="202">
        <f t="shared" si="0"/>
        <v>0</v>
      </c>
      <c r="Y30" s="21"/>
      <c r="Z30" s="202">
        <f t="shared" si="1"/>
        <v>0</v>
      </c>
      <c r="AD30" s="135"/>
    </row>
    <row r="31" spans="1:33" ht="14.1" customHeight="1" x14ac:dyDescent="0.2">
      <c r="A31" s="476" t="s">
        <v>487</v>
      </c>
      <c r="B31" s="476"/>
      <c r="C31" s="476"/>
      <c r="D31" s="476"/>
      <c r="E31" s="476"/>
      <c r="F31" s="476"/>
      <c r="G31" s="199">
        <v>22</v>
      </c>
      <c r="H31" s="128"/>
      <c r="I31" s="21"/>
      <c r="J31" s="21"/>
      <c r="K31" s="21"/>
      <c r="L31" s="21"/>
      <c r="M31" s="21"/>
      <c r="N31" s="21"/>
      <c r="O31" s="21"/>
      <c r="P31" s="21"/>
      <c r="Q31" s="21"/>
      <c r="R31" s="21"/>
      <c r="S31" s="21"/>
      <c r="T31" s="21"/>
      <c r="U31" s="21"/>
      <c r="V31" s="21"/>
      <c r="W31" s="21"/>
      <c r="X31" s="202">
        <f t="shared" si="0"/>
        <v>0</v>
      </c>
      <c r="Y31" s="21"/>
      <c r="Z31" s="202">
        <f t="shared" si="1"/>
        <v>0</v>
      </c>
      <c r="AD31" s="135"/>
    </row>
    <row r="32" spans="1:33" ht="14.1" customHeight="1" x14ac:dyDescent="0.2">
      <c r="A32" s="476" t="s">
        <v>485</v>
      </c>
      <c r="B32" s="476"/>
      <c r="C32" s="476"/>
      <c r="D32" s="476"/>
      <c r="E32" s="476"/>
      <c r="F32" s="476"/>
      <c r="G32" s="199">
        <v>23</v>
      </c>
      <c r="H32" s="128"/>
      <c r="I32" s="21"/>
      <c r="J32" s="21"/>
      <c r="K32" s="21"/>
      <c r="L32" s="21"/>
      <c r="M32" s="21"/>
      <c r="N32" s="21"/>
      <c r="O32" s="21"/>
      <c r="P32" s="21"/>
      <c r="Q32" s="21"/>
      <c r="R32" s="21"/>
      <c r="S32" s="21"/>
      <c r="T32" s="21"/>
      <c r="U32" s="21"/>
      <c r="V32" s="21"/>
      <c r="W32" s="21"/>
      <c r="X32" s="202">
        <f t="shared" si="0"/>
        <v>0</v>
      </c>
      <c r="Y32" s="21"/>
      <c r="Z32" s="202">
        <f t="shared" si="1"/>
        <v>0</v>
      </c>
      <c r="AG32" s="135"/>
    </row>
    <row r="33" spans="1:33" ht="14.1" customHeight="1" x14ac:dyDescent="0.2">
      <c r="A33" s="488" t="s">
        <v>488</v>
      </c>
      <c r="B33" s="488"/>
      <c r="C33" s="488"/>
      <c r="D33" s="488"/>
      <c r="E33" s="488"/>
      <c r="F33" s="488"/>
      <c r="G33" s="200">
        <v>24</v>
      </c>
      <c r="H33" s="129"/>
      <c r="I33" s="201">
        <f>SUM(I13:I32)</f>
        <v>0</v>
      </c>
      <c r="J33" s="201">
        <f t="shared" ref="J33:W33" si="3">SUM(J13:J32)</f>
        <v>0</v>
      </c>
      <c r="K33" s="201">
        <f t="shared" si="3"/>
        <v>0</v>
      </c>
      <c r="L33" s="201">
        <f t="shared" si="3"/>
        <v>0</v>
      </c>
      <c r="M33" s="201">
        <f t="shared" si="3"/>
        <v>0</v>
      </c>
      <c r="N33" s="201">
        <f t="shared" si="3"/>
        <v>0</v>
      </c>
      <c r="O33" s="201">
        <f t="shared" si="3"/>
        <v>0</v>
      </c>
      <c r="P33" s="201">
        <f t="shared" si="3"/>
        <v>0</v>
      </c>
      <c r="Q33" s="201">
        <f t="shared" si="3"/>
        <v>0</v>
      </c>
      <c r="R33" s="201">
        <f t="shared" si="3"/>
        <v>0</v>
      </c>
      <c r="S33" s="201">
        <f t="shared" si="3"/>
        <v>0</v>
      </c>
      <c r="T33" s="201">
        <f>SUM(T13:T32)</f>
        <v>0</v>
      </c>
      <c r="U33" s="201">
        <f>SUM(U13:U32)</f>
        <v>0</v>
      </c>
      <c r="V33" s="201">
        <f t="shared" si="3"/>
        <v>0</v>
      </c>
      <c r="W33" s="201">
        <f t="shared" si="3"/>
        <v>0</v>
      </c>
      <c r="X33" s="201">
        <f t="shared" si="0"/>
        <v>0</v>
      </c>
      <c r="Y33" s="201">
        <f>SUM(Y13:Y32)</f>
        <v>0</v>
      </c>
      <c r="Z33" s="201">
        <f t="shared" si="1"/>
        <v>0</v>
      </c>
      <c r="AG33" s="135"/>
    </row>
    <row r="34" spans="1:33" s="3" customFormat="1" ht="15.95" customHeight="1" x14ac:dyDescent="0.2">
      <c r="A34" s="481" t="s">
        <v>143</v>
      </c>
      <c r="B34" s="482"/>
      <c r="C34" s="482"/>
      <c r="D34" s="482"/>
      <c r="E34" s="482"/>
      <c r="F34" s="482"/>
      <c r="G34" s="482"/>
      <c r="H34" s="482"/>
      <c r="I34" s="482"/>
      <c r="J34" s="482"/>
      <c r="K34" s="482"/>
      <c r="L34" s="482"/>
      <c r="M34" s="482"/>
      <c r="N34" s="482"/>
      <c r="O34" s="482"/>
      <c r="P34" s="482"/>
      <c r="Q34" s="482"/>
      <c r="R34" s="482"/>
      <c r="S34" s="482"/>
      <c r="T34" s="482"/>
      <c r="U34" s="482"/>
      <c r="V34" s="482"/>
      <c r="W34" s="482"/>
      <c r="X34" s="482"/>
      <c r="Y34" s="482"/>
      <c r="Z34" s="482"/>
      <c r="AD34" s="134"/>
      <c r="AE34" s="135"/>
      <c r="AF34" s="134"/>
      <c r="AG34" s="135"/>
    </row>
    <row r="35" spans="1:33" ht="24" customHeight="1" x14ac:dyDescent="0.2">
      <c r="A35" s="489" t="s">
        <v>489</v>
      </c>
      <c r="B35" s="489"/>
      <c r="C35" s="489"/>
      <c r="D35" s="489"/>
      <c r="E35" s="489"/>
      <c r="F35" s="489"/>
      <c r="G35" s="199">
        <v>25</v>
      </c>
      <c r="H35" s="128"/>
      <c r="I35" s="202">
        <f t="shared" ref="I35:O35" si="4">SUM(I15:I23)*$AC$7</f>
        <v>0</v>
      </c>
      <c r="J35" s="202">
        <f t="shared" si="4"/>
        <v>0</v>
      </c>
      <c r="K35" s="202">
        <f t="shared" si="4"/>
        <v>0</v>
      </c>
      <c r="L35" s="202">
        <f t="shared" si="4"/>
        <v>0</v>
      </c>
      <c r="M35" s="202">
        <f t="shared" si="4"/>
        <v>0</v>
      </c>
      <c r="N35" s="202">
        <f t="shared" si="4"/>
        <v>0</v>
      </c>
      <c r="O35" s="202">
        <f t="shared" si="4"/>
        <v>0</v>
      </c>
      <c r="P35" s="202">
        <f t="shared" ref="P35:Z35" si="5">SUM(P15:P23)*$AC$7</f>
        <v>0</v>
      </c>
      <c r="Q35" s="202">
        <f t="shared" si="5"/>
        <v>0</v>
      </c>
      <c r="R35" s="202">
        <f t="shared" si="5"/>
        <v>0</v>
      </c>
      <c r="S35" s="202">
        <f t="shared" si="5"/>
        <v>0</v>
      </c>
      <c r="T35" s="202">
        <f>SUM(T15:T23)*$AC$7</f>
        <v>0</v>
      </c>
      <c r="U35" s="202">
        <f>SUM(U15:U23)*$AC$7</f>
        <v>0</v>
      </c>
      <c r="V35" s="202">
        <f t="shared" si="5"/>
        <v>0</v>
      </c>
      <c r="W35" s="202">
        <f t="shared" si="5"/>
        <v>0</v>
      </c>
      <c r="X35" s="202">
        <f t="shared" si="5"/>
        <v>0</v>
      </c>
      <c r="Y35" s="202">
        <f t="shared" si="5"/>
        <v>0</v>
      </c>
      <c r="Z35" s="202">
        <f t="shared" si="5"/>
        <v>0</v>
      </c>
    </row>
    <row r="36" spans="1:33" s="3" customFormat="1" ht="24" customHeight="1" x14ac:dyDescent="0.2">
      <c r="A36" s="489" t="s">
        <v>490</v>
      </c>
      <c r="B36" s="489"/>
      <c r="C36" s="489"/>
      <c r="D36" s="489"/>
      <c r="E36" s="489"/>
      <c r="F36" s="489"/>
      <c r="G36" s="199">
        <v>26</v>
      </c>
      <c r="H36" s="128"/>
      <c r="I36" s="202">
        <f t="shared" ref="I36:O36" si="6">(I14+I35)*$AC$7</f>
        <v>0</v>
      </c>
      <c r="J36" s="202">
        <f t="shared" si="6"/>
        <v>0</v>
      </c>
      <c r="K36" s="202">
        <f t="shared" si="6"/>
        <v>0</v>
      </c>
      <c r="L36" s="202">
        <f t="shared" si="6"/>
        <v>0</v>
      </c>
      <c r="M36" s="202">
        <f t="shared" si="6"/>
        <v>0</v>
      </c>
      <c r="N36" s="202">
        <f t="shared" si="6"/>
        <v>0</v>
      </c>
      <c r="O36" s="202">
        <f t="shared" si="6"/>
        <v>0</v>
      </c>
      <c r="P36" s="202">
        <f t="shared" ref="P36:Z36" si="7">(P14+P35)*$AC$7</f>
        <v>0</v>
      </c>
      <c r="Q36" s="202">
        <f t="shared" si="7"/>
        <v>0</v>
      </c>
      <c r="R36" s="202">
        <f t="shared" si="7"/>
        <v>0</v>
      </c>
      <c r="S36" s="202">
        <f t="shared" si="7"/>
        <v>0</v>
      </c>
      <c r="T36" s="202">
        <f>(T14+T35)*$AC$7</f>
        <v>0</v>
      </c>
      <c r="U36" s="202">
        <f>(U14+U35)*$AC$7</f>
        <v>0</v>
      </c>
      <c r="V36" s="202">
        <f t="shared" si="7"/>
        <v>0</v>
      </c>
      <c r="W36" s="202">
        <f t="shared" si="7"/>
        <v>0</v>
      </c>
      <c r="X36" s="202">
        <f t="shared" si="7"/>
        <v>0</v>
      </c>
      <c r="Y36" s="202">
        <f t="shared" si="7"/>
        <v>0</v>
      </c>
      <c r="Z36" s="202">
        <f t="shared" si="7"/>
        <v>0</v>
      </c>
      <c r="AD36" s="135"/>
      <c r="AE36" s="130"/>
    </row>
    <row r="37" spans="1:33" s="3" customFormat="1" ht="24" customHeight="1" x14ac:dyDescent="0.2">
      <c r="A37" s="490" t="s">
        <v>2550</v>
      </c>
      <c r="B37" s="490"/>
      <c r="C37" s="490"/>
      <c r="D37" s="490"/>
      <c r="E37" s="490"/>
      <c r="F37" s="490"/>
      <c r="G37" s="200">
        <v>27</v>
      </c>
      <c r="H37" s="129"/>
      <c r="I37" s="201">
        <f t="shared" ref="I37:O37" si="8">SUM(I24:I32)*$AC$7</f>
        <v>0</v>
      </c>
      <c r="J37" s="201">
        <f t="shared" si="8"/>
        <v>0</v>
      </c>
      <c r="K37" s="201">
        <f t="shared" si="8"/>
        <v>0</v>
      </c>
      <c r="L37" s="201">
        <f t="shared" si="8"/>
        <v>0</v>
      </c>
      <c r="M37" s="201">
        <f t="shared" si="8"/>
        <v>0</v>
      </c>
      <c r="N37" s="201">
        <f t="shared" si="8"/>
        <v>0</v>
      </c>
      <c r="O37" s="201">
        <f t="shared" si="8"/>
        <v>0</v>
      </c>
      <c r="P37" s="201">
        <f t="shared" ref="P37:Z37" si="9">SUM(P24:P32)*$AC$7</f>
        <v>0</v>
      </c>
      <c r="Q37" s="201">
        <f t="shared" si="9"/>
        <v>0</v>
      </c>
      <c r="R37" s="201">
        <f t="shared" si="9"/>
        <v>0</v>
      </c>
      <c r="S37" s="201">
        <f t="shared" si="9"/>
        <v>0</v>
      </c>
      <c r="T37" s="201">
        <f>SUM(T24:T32)*$AC$7</f>
        <v>0</v>
      </c>
      <c r="U37" s="201">
        <f>SUM(U24:U32)*$AC$7</f>
        <v>0</v>
      </c>
      <c r="V37" s="201">
        <f t="shared" si="9"/>
        <v>0</v>
      </c>
      <c r="W37" s="201">
        <f t="shared" si="9"/>
        <v>0</v>
      </c>
      <c r="X37" s="201">
        <f t="shared" si="9"/>
        <v>0</v>
      </c>
      <c r="Y37" s="201">
        <f t="shared" si="9"/>
        <v>0</v>
      </c>
      <c r="Z37" s="201">
        <f t="shared" si="9"/>
        <v>0</v>
      </c>
      <c r="AD37" s="135"/>
      <c r="AE37" s="130"/>
    </row>
    <row r="38" spans="1:33" s="3" customFormat="1" ht="15.95" customHeight="1" x14ac:dyDescent="0.2">
      <c r="A38" s="481" t="s">
        <v>632</v>
      </c>
      <c r="B38" s="483"/>
      <c r="C38" s="483"/>
      <c r="D38" s="483"/>
      <c r="E38" s="483"/>
      <c r="F38" s="483"/>
      <c r="G38" s="483"/>
      <c r="H38" s="483"/>
      <c r="I38" s="483"/>
      <c r="J38" s="483"/>
      <c r="K38" s="483"/>
      <c r="L38" s="483"/>
      <c r="M38" s="483"/>
      <c r="N38" s="483"/>
      <c r="O38" s="483"/>
      <c r="P38" s="483"/>
      <c r="Q38" s="483"/>
      <c r="R38" s="483"/>
      <c r="S38" s="483"/>
      <c r="T38" s="483"/>
      <c r="U38" s="483"/>
      <c r="V38" s="483"/>
      <c r="W38" s="483"/>
      <c r="X38" s="483"/>
      <c r="Y38" s="483"/>
      <c r="Z38" s="483"/>
      <c r="AD38" s="134"/>
      <c r="AE38" s="135"/>
      <c r="AF38" s="134"/>
      <c r="AG38" s="135"/>
    </row>
    <row r="39" spans="1:33" ht="14.1" customHeight="1" x14ac:dyDescent="0.2">
      <c r="A39" s="477" t="s">
        <v>2551</v>
      </c>
      <c r="B39" s="477"/>
      <c r="C39" s="477"/>
      <c r="D39" s="477"/>
      <c r="E39" s="477"/>
      <c r="F39" s="477"/>
      <c r="G39" s="199">
        <v>28</v>
      </c>
      <c r="H39" s="128"/>
      <c r="I39" s="21"/>
      <c r="J39" s="21"/>
      <c r="K39" s="21"/>
      <c r="L39" s="21"/>
      <c r="M39" s="21"/>
      <c r="N39" s="21"/>
      <c r="O39" s="21"/>
      <c r="P39" s="21"/>
      <c r="Q39" s="21"/>
      <c r="R39" s="21"/>
      <c r="S39" s="21"/>
      <c r="T39" s="21"/>
      <c r="U39" s="21"/>
      <c r="V39" s="21"/>
      <c r="W39" s="21"/>
      <c r="X39" s="202">
        <f t="shared" ref="X39:X62" si="10">SUM(I39:L39)-M39+SUM(N39:W39)</f>
        <v>0</v>
      </c>
      <c r="Y39" s="21"/>
      <c r="Z39" s="202">
        <f t="shared" si="1"/>
        <v>0</v>
      </c>
      <c r="AD39" s="135"/>
    </row>
    <row r="40" spans="1:33" ht="14.1" customHeight="1" x14ac:dyDescent="0.2">
      <c r="A40" s="476" t="s">
        <v>499</v>
      </c>
      <c r="B40" s="476"/>
      <c r="C40" s="476"/>
      <c r="D40" s="476"/>
      <c r="E40" s="476"/>
      <c r="F40" s="476"/>
      <c r="G40" s="199">
        <v>29</v>
      </c>
      <c r="H40" s="128"/>
      <c r="I40" s="21"/>
      <c r="J40" s="21"/>
      <c r="K40" s="21"/>
      <c r="L40" s="21"/>
      <c r="M40" s="21"/>
      <c r="N40" s="21"/>
      <c r="O40" s="21"/>
      <c r="P40" s="21"/>
      <c r="Q40" s="21"/>
      <c r="R40" s="21"/>
      <c r="S40" s="21"/>
      <c r="T40" s="21"/>
      <c r="U40" s="21"/>
      <c r="V40" s="21"/>
      <c r="W40" s="21"/>
      <c r="X40" s="202">
        <f t="shared" si="10"/>
        <v>0</v>
      </c>
      <c r="Y40" s="21"/>
      <c r="Z40" s="202">
        <f t="shared" si="1"/>
        <v>0</v>
      </c>
      <c r="AD40" s="135"/>
    </row>
    <row r="41" spans="1:33" ht="14.1" customHeight="1" x14ac:dyDescent="0.2">
      <c r="A41" s="476" t="s">
        <v>500</v>
      </c>
      <c r="B41" s="476"/>
      <c r="C41" s="476"/>
      <c r="D41" s="476"/>
      <c r="E41" s="476"/>
      <c r="F41" s="476"/>
      <c r="G41" s="199">
        <v>30</v>
      </c>
      <c r="H41" s="128"/>
      <c r="I41" s="21"/>
      <c r="J41" s="21"/>
      <c r="K41" s="21"/>
      <c r="L41" s="21"/>
      <c r="M41" s="21"/>
      <c r="N41" s="21"/>
      <c r="O41" s="21"/>
      <c r="P41" s="21"/>
      <c r="Q41" s="21"/>
      <c r="R41" s="21"/>
      <c r="S41" s="21"/>
      <c r="T41" s="21"/>
      <c r="U41" s="21"/>
      <c r="V41" s="21"/>
      <c r="W41" s="21"/>
      <c r="X41" s="202">
        <f t="shared" si="10"/>
        <v>0</v>
      </c>
      <c r="Y41" s="21"/>
      <c r="Z41" s="202">
        <f t="shared" si="1"/>
        <v>0</v>
      </c>
      <c r="AD41" s="135"/>
    </row>
    <row r="42" spans="1:33" ht="14.1" customHeight="1" x14ac:dyDescent="0.2">
      <c r="A42" s="477" t="s">
        <v>2552</v>
      </c>
      <c r="B42" s="477"/>
      <c r="C42" s="477"/>
      <c r="D42" s="477"/>
      <c r="E42" s="477"/>
      <c r="F42" s="477"/>
      <c r="G42" s="199">
        <v>31</v>
      </c>
      <c r="H42" s="128"/>
      <c r="I42" s="202">
        <f t="shared" ref="I42:W42" si="11">SUM(I39:I41)</f>
        <v>0</v>
      </c>
      <c r="J42" s="202">
        <f t="shared" si="11"/>
        <v>0</v>
      </c>
      <c r="K42" s="202">
        <f t="shared" si="11"/>
        <v>0</v>
      </c>
      <c r="L42" s="202">
        <f t="shared" si="11"/>
        <v>0</v>
      </c>
      <c r="M42" s="202">
        <f t="shared" si="11"/>
        <v>0</v>
      </c>
      <c r="N42" s="202">
        <f t="shared" si="11"/>
        <v>0</v>
      </c>
      <c r="O42" s="202">
        <f t="shared" si="11"/>
        <v>0</v>
      </c>
      <c r="P42" s="202">
        <f t="shared" si="11"/>
        <v>0</v>
      </c>
      <c r="Q42" s="202">
        <f t="shared" si="11"/>
        <v>0</v>
      </c>
      <c r="R42" s="202">
        <f t="shared" si="11"/>
        <v>0</v>
      </c>
      <c r="S42" s="202">
        <f t="shared" si="11"/>
        <v>0</v>
      </c>
      <c r="T42" s="202">
        <f>SUM(T39:T41)</f>
        <v>0</v>
      </c>
      <c r="U42" s="202">
        <f>SUM(U39:U41)</f>
        <v>0</v>
      </c>
      <c r="V42" s="202">
        <f t="shared" si="11"/>
        <v>0</v>
      </c>
      <c r="W42" s="202">
        <f t="shared" si="11"/>
        <v>0</v>
      </c>
      <c r="X42" s="202">
        <f t="shared" si="10"/>
        <v>0</v>
      </c>
      <c r="Y42" s="202">
        <f>SUM(Y39:Y41)</f>
        <v>0</v>
      </c>
      <c r="Z42" s="202">
        <f>Y42+X42</f>
        <v>0</v>
      </c>
      <c r="AG42" s="135"/>
    </row>
    <row r="43" spans="1:33" ht="14.1" customHeight="1" x14ac:dyDescent="0.2">
      <c r="A43" s="476" t="s">
        <v>502</v>
      </c>
      <c r="B43" s="476"/>
      <c r="C43" s="476"/>
      <c r="D43" s="476"/>
      <c r="E43" s="476"/>
      <c r="F43" s="476"/>
      <c r="G43" s="199">
        <v>32</v>
      </c>
      <c r="H43" s="128"/>
      <c r="I43" s="212"/>
      <c r="J43" s="212"/>
      <c r="K43" s="212"/>
      <c r="L43" s="212"/>
      <c r="M43" s="212"/>
      <c r="N43" s="212"/>
      <c r="O43" s="212"/>
      <c r="P43" s="212"/>
      <c r="Q43" s="212"/>
      <c r="R43" s="212"/>
      <c r="S43" s="212"/>
      <c r="T43" s="212"/>
      <c r="U43" s="212"/>
      <c r="V43" s="212"/>
      <c r="W43" s="21"/>
      <c r="X43" s="202">
        <f t="shared" si="10"/>
        <v>0</v>
      </c>
      <c r="Y43" s="21"/>
      <c r="Z43" s="202">
        <f t="shared" si="1"/>
        <v>0</v>
      </c>
      <c r="AG43" s="135"/>
    </row>
    <row r="44" spans="1:33" ht="14.1" customHeight="1" x14ac:dyDescent="0.2">
      <c r="A44" s="476" t="s">
        <v>503</v>
      </c>
      <c r="B44" s="476"/>
      <c r="C44" s="476"/>
      <c r="D44" s="476"/>
      <c r="E44" s="476"/>
      <c r="F44" s="476"/>
      <c r="G44" s="199">
        <v>33</v>
      </c>
      <c r="H44" s="128"/>
      <c r="I44" s="212"/>
      <c r="J44" s="212"/>
      <c r="K44" s="212"/>
      <c r="L44" s="212"/>
      <c r="M44" s="212"/>
      <c r="N44" s="212"/>
      <c r="O44" s="21"/>
      <c r="P44" s="212"/>
      <c r="Q44" s="212"/>
      <c r="R44" s="212"/>
      <c r="S44" s="212"/>
      <c r="T44" s="212"/>
      <c r="U44" s="212"/>
      <c r="V44" s="212"/>
      <c r="W44" s="212"/>
      <c r="X44" s="202">
        <f t="shared" si="10"/>
        <v>0</v>
      </c>
      <c r="Y44" s="21"/>
      <c r="Z44" s="202">
        <f t="shared" si="1"/>
        <v>0</v>
      </c>
    </row>
    <row r="45" spans="1:33" ht="24" customHeight="1" x14ac:dyDescent="0.2">
      <c r="A45" s="476" t="s">
        <v>2553</v>
      </c>
      <c r="B45" s="476"/>
      <c r="C45" s="476"/>
      <c r="D45" s="476"/>
      <c r="E45" s="476"/>
      <c r="F45" s="476"/>
      <c r="G45" s="199">
        <v>34</v>
      </c>
      <c r="H45" s="128"/>
      <c r="I45" s="212"/>
      <c r="J45" s="212"/>
      <c r="K45" s="212"/>
      <c r="L45" s="212"/>
      <c r="M45" s="212"/>
      <c r="N45" s="212"/>
      <c r="O45" s="212"/>
      <c r="P45" s="21"/>
      <c r="Q45" s="212"/>
      <c r="R45" s="212"/>
      <c r="S45" s="212"/>
      <c r="T45" s="212"/>
      <c r="U45" s="212"/>
      <c r="V45" s="21"/>
      <c r="W45" s="21"/>
      <c r="X45" s="202">
        <f t="shared" si="10"/>
        <v>0</v>
      </c>
      <c r="Y45" s="21"/>
      <c r="Z45" s="202">
        <f t="shared" si="1"/>
        <v>0</v>
      </c>
    </row>
    <row r="46" spans="1:33" s="3" customFormat="1" ht="35.1" customHeight="1" x14ac:dyDescent="0.2">
      <c r="A46" s="476" t="s">
        <v>2545</v>
      </c>
      <c r="B46" s="476"/>
      <c r="C46" s="476"/>
      <c r="D46" s="476"/>
      <c r="E46" s="476"/>
      <c r="F46" s="476"/>
      <c r="G46" s="199">
        <v>35</v>
      </c>
      <c r="H46" s="128"/>
      <c r="I46" s="212"/>
      <c r="J46" s="212"/>
      <c r="K46" s="212"/>
      <c r="L46" s="212"/>
      <c r="M46" s="212"/>
      <c r="N46" s="212"/>
      <c r="O46" s="212"/>
      <c r="P46" s="212"/>
      <c r="Q46" s="21"/>
      <c r="R46" s="212"/>
      <c r="S46" s="212"/>
      <c r="T46" s="212"/>
      <c r="U46" s="212"/>
      <c r="V46" s="21"/>
      <c r="W46" s="21"/>
      <c r="X46" s="202">
        <f t="shared" si="10"/>
        <v>0</v>
      </c>
      <c r="Y46" s="21"/>
      <c r="Z46" s="202">
        <f t="shared" si="1"/>
        <v>0</v>
      </c>
      <c r="AD46" s="135"/>
      <c r="AE46" s="130"/>
    </row>
    <row r="47" spans="1:33" s="3" customFormat="1" ht="14.1" customHeight="1" x14ac:dyDescent="0.2">
      <c r="A47" s="476" t="s">
        <v>2546</v>
      </c>
      <c r="B47" s="476"/>
      <c r="C47" s="476"/>
      <c r="D47" s="476"/>
      <c r="E47" s="476"/>
      <c r="F47" s="476"/>
      <c r="G47" s="199">
        <v>36</v>
      </c>
      <c r="H47" s="128"/>
      <c r="I47" s="212"/>
      <c r="J47" s="212"/>
      <c r="K47" s="212"/>
      <c r="L47" s="212"/>
      <c r="M47" s="212"/>
      <c r="N47" s="212"/>
      <c r="O47" s="212"/>
      <c r="P47" s="212"/>
      <c r="Q47" s="212"/>
      <c r="R47" s="21"/>
      <c r="S47" s="212"/>
      <c r="T47" s="212"/>
      <c r="U47" s="212"/>
      <c r="V47" s="21"/>
      <c r="W47" s="21"/>
      <c r="X47" s="202">
        <f t="shared" si="10"/>
        <v>0</v>
      </c>
      <c r="Y47" s="21"/>
      <c r="Z47" s="202">
        <f t="shared" si="1"/>
        <v>0</v>
      </c>
      <c r="AD47" s="135"/>
      <c r="AE47" s="130"/>
    </row>
    <row r="48" spans="1:33" s="3" customFormat="1" ht="24" customHeight="1" x14ac:dyDescent="0.2">
      <c r="A48" s="476" t="s">
        <v>508</v>
      </c>
      <c r="B48" s="476"/>
      <c r="C48" s="476"/>
      <c r="D48" s="476"/>
      <c r="E48" s="476"/>
      <c r="F48" s="476"/>
      <c r="G48" s="199">
        <v>37</v>
      </c>
      <c r="H48" s="128"/>
      <c r="I48" s="212"/>
      <c r="J48" s="212"/>
      <c r="K48" s="212"/>
      <c r="L48" s="212"/>
      <c r="M48" s="212"/>
      <c r="N48" s="212"/>
      <c r="O48" s="212"/>
      <c r="P48" s="212"/>
      <c r="Q48" s="212"/>
      <c r="R48" s="212"/>
      <c r="S48" s="21"/>
      <c r="T48" s="21"/>
      <c r="U48" s="21"/>
      <c r="V48" s="21"/>
      <c r="W48" s="21"/>
      <c r="X48" s="202">
        <f t="shared" si="10"/>
        <v>0</v>
      </c>
      <c r="Y48" s="21"/>
      <c r="Z48" s="202">
        <f t="shared" si="1"/>
        <v>0</v>
      </c>
      <c r="AD48" s="135"/>
      <c r="AE48" s="130"/>
    </row>
    <row r="49" spans="1:33" s="3" customFormat="1" ht="24" customHeight="1" x14ac:dyDescent="0.2">
      <c r="A49" s="476" t="s">
        <v>2554</v>
      </c>
      <c r="B49" s="476"/>
      <c r="C49" s="476"/>
      <c r="D49" s="476"/>
      <c r="E49" s="476"/>
      <c r="F49" s="476"/>
      <c r="G49" s="199">
        <v>38</v>
      </c>
      <c r="H49" s="128"/>
      <c r="I49" s="212"/>
      <c r="J49" s="212"/>
      <c r="K49" s="212"/>
      <c r="L49" s="212"/>
      <c r="M49" s="212"/>
      <c r="N49" s="212"/>
      <c r="O49" s="21"/>
      <c r="P49" s="21"/>
      <c r="Q49" s="21"/>
      <c r="R49" s="21"/>
      <c r="S49" s="21"/>
      <c r="T49" s="21"/>
      <c r="U49" s="21"/>
      <c r="V49" s="21"/>
      <c r="W49" s="21"/>
      <c r="X49" s="202">
        <f t="shared" si="10"/>
        <v>0</v>
      </c>
      <c r="Y49" s="21"/>
      <c r="Z49" s="202">
        <f t="shared" si="1"/>
        <v>0</v>
      </c>
      <c r="AD49" s="135"/>
      <c r="AE49" s="130"/>
    </row>
    <row r="50" spans="1:33" ht="14.1" customHeight="1" x14ac:dyDescent="0.2">
      <c r="A50" s="476" t="s">
        <v>1140</v>
      </c>
      <c r="B50" s="476"/>
      <c r="C50" s="476"/>
      <c r="D50" s="476"/>
      <c r="E50" s="476"/>
      <c r="F50" s="476"/>
      <c r="G50" s="199">
        <v>39</v>
      </c>
      <c r="H50" s="128"/>
      <c r="I50" s="212"/>
      <c r="J50" s="212"/>
      <c r="K50" s="212"/>
      <c r="L50" s="212"/>
      <c r="M50" s="212"/>
      <c r="N50" s="212"/>
      <c r="O50" s="21"/>
      <c r="P50" s="21"/>
      <c r="Q50" s="21"/>
      <c r="R50" s="21"/>
      <c r="S50" s="21"/>
      <c r="T50" s="21"/>
      <c r="U50" s="21"/>
      <c r="V50" s="21"/>
      <c r="W50" s="21"/>
      <c r="X50" s="202">
        <f t="shared" si="10"/>
        <v>0</v>
      </c>
      <c r="Y50" s="21"/>
      <c r="Z50" s="202">
        <f t="shared" si="1"/>
        <v>0</v>
      </c>
      <c r="AD50" s="135"/>
    </row>
    <row r="51" spans="1:33" ht="14.1" customHeight="1" x14ac:dyDescent="0.2">
      <c r="A51" s="476" t="s">
        <v>1141</v>
      </c>
      <c r="B51" s="476"/>
      <c r="C51" s="476"/>
      <c r="D51" s="476"/>
      <c r="E51" s="476"/>
      <c r="F51" s="476"/>
      <c r="G51" s="199">
        <v>40</v>
      </c>
      <c r="H51" s="128"/>
      <c r="I51" s="21"/>
      <c r="J51" s="21"/>
      <c r="K51" s="21"/>
      <c r="L51" s="21"/>
      <c r="M51" s="21"/>
      <c r="N51" s="21"/>
      <c r="O51" s="21"/>
      <c r="P51" s="21"/>
      <c r="Q51" s="21"/>
      <c r="R51" s="21"/>
      <c r="S51" s="21"/>
      <c r="T51" s="21"/>
      <c r="U51" s="21"/>
      <c r="V51" s="21"/>
      <c r="W51" s="21"/>
      <c r="X51" s="202">
        <f t="shared" si="10"/>
        <v>0</v>
      </c>
      <c r="Y51" s="21"/>
      <c r="Z51" s="202">
        <f t="shared" si="1"/>
        <v>0</v>
      </c>
      <c r="AD51" s="135"/>
    </row>
    <row r="52" spans="1:33" ht="14.1" customHeight="1" x14ac:dyDescent="0.2">
      <c r="A52" s="476" t="s">
        <v>1142</v>
      </c>
      <c r="B52" s="476"/>
      <c r="C52" s="476"/>
      <c r="D52" s="476"/>
      <c r="E52" s="476"/>
      <c r="F52" s="476"/>
      <c r="G52" s="199">
        <v>41</v>
      </c>
      <c r="H52" s="128"/>
      <c r="I52" s="212"/>
      <c r="J52" s="212"/>
      <c r="K52" s="212"/>
      <c r="L52" s="212"/>
      <c r="M52" s="212"/>
      <c r="N52" s="212"/>
      <c r="O52" s="21"/>
      <c r="P52" s="21"/>
      <c r="Q52" s="21"/>
      <c r="R52" s="21"/>
      <c r="S52" s="21"/>
      <c r="T52" s="21"/>
      <c r="U52" s="21"/>
      <c r="V52" s="21"/>
      <c r="W52" s="21"/>
      <c r="X52" s="202">
        <f t="shared" si="10"/>
        <v>0</v>
      </c>
      <c r="Y52" s="21"/>
      <c r="Z52" s="202">
        <f t="shared" si="1"/>
        <v>0</v>
      </c>
      <c r="AD52" s="135"/>
    </row>
    <row r="53" spans="1:33" ht="24" customHeight="1" x14ac:dyDescent="0.2">
      <c r="A53" s="476" t="s">
        <v>2548</v>
      </c>
      <c r="B53" s="476"/>
      <c r="C53" s="476"/>
      <c r="D53" s="476"/>
      <c r="E53" s="476"/>
      <c r="F53" s="476"/>
      <c r="G53" s="199">
        <v>42</v>
      </c>
      <c r="H53" s="128"/>
      <c r="I53" s="21"/>
      <c r="J53" s="21"/>
      <c r="K53" s="21"/>
      <c r="L53" s="21"/>
      <c r="M53" s="21"/>
      <c r="N53" s="21"/>
      <c r="O53" s="21"/>
      <c r="P53" s="21"/>
      <c r="Q53" s="21"/>
      <c r="R53" s="21"/>
      <c r="S53" s="21"/>
      <c r="T53" s="21"/>
      <c r="U53" s="21"/>
      <c r="V53" s="21"/>
      <c r="W53" s="21"/>
      <c r="X53" s="202">
        <f t="shared" si="10"/>
        <v>0</v>
      </c>
      <c r="Y53" s="21"/>
      <c r="Z53" s="202">
        <f t="shared" si="1"/>
        <v>0</v>
      </c>
      <c r="AD53" s="135"/>
    </row>
    <row r="54" spans="1:33" ht="24" customHeight="1" x14ac:dyDescent="0.2">
      <c r="A54" s="476" t="s">
        <v>2555</v>
      </c>
      <c r="B54" s="476"/>
      <c r="C54" s="476"/>
      <c r="D54" s="476"/>
      <c r="E54" s="476"/>
      <c r="F54" s="476"/>
      <c r="G54" s="199">
        <v>43</v>
      </c>
      <c r="H54" s="128"/>
      <c r="I54" s="21"/>
      <c r="J54" s="21"/>
      <c r="K54" s="21"/>
      <c r="L54" s="21"/>
      <c r="M54" s="21"/>
      <c r="N54" s="21"/>
      <c r="O54" s="21"/>
      <c r="P54" s="21"/>
      <c r="Q54" s="21"/>
      <c r="R54" s="21"/>
      <c r="S54" s="21"/>
      <c r="T54" s="21"/>
      <c r="U54" s="21"/>
      <c r="V54" s="21"/>
      <c r="W54" s="21"/>
      <c r="X54" s="202">
        <f t="shared" si="10"/>
        <v>0</v>
      </c>
      <c r="Y54" s="21"/>
      <c r="Z54" s="202">
        <f t="shared" si="1"/>
        <v>0</v>
      </c>
      <c r="AG54" s="135"/>
    </row>
    <row r="55" spans="1:33" ht="24" customHeight="1" x14ac:dyDescent="0.2">
      <c r="A55" s="476" t="s">
        <v>2556</v>
      </c>
      <c r="B55" s="476"/>
      <c r="C55" s="476"/>
      <c r="D55" s="476"/>
      <c r="E55" s="476"/>
      <c r="F55" s="476"/>
      <c r="G55" s="199">
        <v>44</v>
      </c>
      <c r="H55" s="128"/>
      <c r="I55" s="21"/>
      <c r="J55" s="21"/>
      <c r="K55" s="21"/>
      <c r="L55" s="21"/>
      <c r="M55" s="21"/>
      <c r="N55" s="21"/>
      <c r="O55" s="21"/>
      <c r="P55" s="21"/>
      <c r="Q55" s="21"/>
      <c r="R55" s="21"/>
      <c r="S55" s="21"/>
      <c r="T55" s="21"/>
      <c r="U55" s="21"/>
      <c r="V55" s="21"/>
      <c r="W55" s="21"/>
      <c r="X55" s="202">
        <f t="shared" si="10"/>
        <v>0</v>
      </c>
      <c r="Y55" s="21"/>
      <c r="Z55" s="202">
        <f t="shared" si="1"/>
        <v>0</v>
      </c>
      <c r="AG55" s="135"/>
    </row>
    <row r="56" spans="1:33" ht="14.1" customHeight="1" x14ac:dyDescent="0.2">
      <c r="A56" s="476" t="s">
        <v>1143</v>
      </c>
      <c r="B56" s="476"/>
      <c r="C56" s="476"/>
      <c r="D56" s="476"/>
      <c r="E56" s="476"/>
      <c r="F56" s="476"/>
      <c r="G56" s="199">
        <v>45</v>
      </c>
      <c r="H56" s="128"/>
      <c r="I56" s="21"/>
      <c r="J56" s="21"/>
      <c r="K56" s="21"/>
      <c r="L56" s="21"/>
      <c r="M56" s="21"/>
      <c r="N56" s="21"/>
      <c r="O56" s="21"/>
      <c r="P56" s="21"/>
      <c r="Q56" s="21"/>
      <c r="R56" s="21"/>
      <c r="S56" s="21"/>
      <c r="T56" s="21"/>
      <c r="U56" s="21"/>
      <c r="V56" s="21"/>
      <c r="W56" s="21"/>
      <c r="X56" s="202">
        <f t="shared" si="10"/>
        <v>0</v>
      </c>
      <c r="Y56" s="21"/>
      <c r="Z56" s="202">
        <f t="shared" si="1"/>
        <v>0</v>
      </c>
    </row>
    <row r="57" spans="1:33" ht="14.1" customHeight="1" x14ac:dyDescent="0.2">
      <c r="A57" s="476" t="s">
        <v>1731</v>
      </c>
      <c r="B57" s="476"/>
      <c r="C57" s="476"/>
      <c r="D57" s="476"/>
      <c r="E57" s="476"/>
      <c r="F57" s="476"/>
      <c r="G57" s="199">
        <v>46</v>
      </c>
      <c r="H57" s="128"/>
      <c r="I57" s="21"/>
      <c r="J57" s="21"/>
      <c r="K57" s="21"/>
      <c r="L57" s="21"/>
      <c r="M57" s="21"/>
      <c r="N57" s="21"/>
      <c r="O57" s="21"/>
      <c r="P57" s="21"/>
      <c r="Q57" s="21"/>
      <c r="R57" s="21"/>
      <c r="S57" s="21"/>
      <c r="T57" s="21"/>
      <c r="U57" s="21"/>
      <c r="V57" s="21"/>
      <c r="W57" s="21"/>
      <c r="X57" s="202">
        <f>SUM(I57:L57)-M57+SUM(N57:W57)</f>
        <v>0</v>
      </c>
      <c r="Y57" s="21"/>
      <c r="Z57" s="202">
        <f>Y57+X57</f>
        <v>0</v>
      </c>
    </row>
    <row r="58" spans="1:33" ht="14.1" customHeight="1" x14ac:dyDescent="0.2">
      <c r="A58" s="476" t="s">
        <v>491</v>
      </c>
      <c r="B58" s="476"/>
      <c r="C58" s="476"/>
      <c r="D58" s="476"/>
      <c r="E58" s="476"/>
      <c r="F58" s="476"/>
      <c r="G58" s="199">
        <v>47</v>
      </c>
      <c r="H58" s="128"/>
      <c r="I58" s="21"/>
      <c r="J58" s="21"/>
      <c r="K58" s="21"/>
      <c r="L58" s="21"/>
      <c r="M58" s="21"/>
      <c r="N58" s="21"/>
      <c r="O58" s="21"/>
      <c r="P58" s="21"/>
      <c r="Q58" s="21"/>
      <c r="R58" s="21"/>
      <c r="S58" s="21"/>
      <c r="T58" s="21"/>
      <c r="U58" s="21"/>
      <c r="V58" s="21"/>
      <c r="W58" s="21"/>
      <c r="X58" s="202">
        <f t="shared" si="10"/>
        <v>0</v>
      </c>
      <c r="Y58" s="21"/>
      <c r="Z58" s="202">
        <f t="shared" si="1"/>
        <v>0</v>
      </c>
    </row>
    <row r="59" spans="1:33" ht="14.1" customHeight="1" x14ac:dyDescent="0.2">
      <c r="A59" s="476" t="s">
        <v>492</v>
      </c>
      <c r="B59" s="476"/>
      <c r="C59" s="476"/>
      <c r="D59" s="476"/>
      <c r="E59" s="476"/>
      <c r="F59" s="476"/>
      <c r="G59" s="199">
        <v>48</v>
      </c>
      <c r="H59" s="128"/>
      <c r="I59" s="21"/>
      <c r="J59" s="21"/>
      <c r="K59" s="21"/>
      <c r="L59" s="21"/>
      <c r="M59" s="21"/>
      <c r="N59" s="21"/>
      <c r="O59" s="21"/>
      <c r="P59" s="21"/>
      <c r="Q59" s="21"/>
      <c r="R59" s="21"/>
      <c r="S59" s="21"/>
      <c r="T59" s="21"/>
      <c r="U59" s="21"/>
      <c r="V59" s="21"/>
      <c r="W59" s="21"/>
      <c r="X59" s="202">
        <f t="shared" si="10"/>
        <v>0</v>
      </c>
      <c r="Y59" s="21"/>
      <c r="Z59" s="202">
        <f t="shared" si="1"/>
        <v>0</v>
      </c>
    </row>
    <row r="60" spans="1:33" s="3" customFormat="1" ht="14.1" customHeight="1" x14ac:dyDescent="0.2">
      <c r="A60" s="476" t="s">
        <v>493</v>
      </c>
      <c r="B60" s="476"/>
      <c r="C60" s="476"/>
      <c r="D60" s="476"/>
      <c r="E60" s="476"/>
      <c r="F60" s="476"/>
      <c r="G60" s="199">
        <v>49</v>
      </c>
      <c r="H60" s="128"/>
      <c r="I60" s="21"/>
      <c r="J60" s="21"/>
      <c r="K60" s="21"/>
      <c r="L60" s="21"/>
      <c r="M60" s="21"/>
      <c r="N60" s="21"/>
      <c r="O60" s="21"/>
      <c r="P60" s="21"/>
      <c r="Q60" s="21"/>
      <c r="R60" s="21"/>
      <c r="S60" s="21"/>
      <c r="T60" s="21"/>
      <c r="U60" s="21"/>
      <c r="V60" s="21"/>
      <c r="W60" s="21"/>
      <c r="X60" s="202">
        <f t="shared" si="10"/>
        <v>0</v>
      </c>
      <c r="Y60" s="21"/>
      <c r="Z60" s="202">
        <f t="shared" si="1"/>
        <v>0</v>
      </c>
      <c r="AD60" s="135"/>
      <c r="AE60" s="130"/>
    </row>
    <row r="61" spans="1:33" s="3" customFormat="1" ht="14.1" customHeight="1" x14ac:dyDescent="0.2">
      <c r="A61" s="476" t="s">
        <v>485</v>
      </c>
      <c r="B61" s="476"/>
      <c r="C61" s="476"/>
      <c r="D61" s="476"/>
      <c r="E61" s="476"/>
      <c r="F61" s="476"/>
      <c r="G61" s="199">
        <v>50</v>
      </c>
      <c r="H61" s="128"/>
      <c r="I61" s="21"/>
      <c r="J61" s="21"/>
      <c r="K61" s="21"/>
      <c r="L61" s="21"/>
      <c r="M61" s="21"/>
      <c r="N61" s="21"/>
      <c r="O61" s="21"/>
      <c r="P61" s="21"/>
      <c r="Q61" s="21"/>
      <c r="R61" s="21"/>
      <c r="S61" s="21"/>
      <c r="T61" s="21"/>
      <c r="U61" s="21"/>
      <c r="V61" s="21"/>
      <c r="W61" s="21"/>
      <c r="X61" s="202">
        <f t="shared" si="10"/>
        <v>0</v>
      </c>
      <c r="Y61" s="21"/>
      <c r="Z61" s="202">
        <f t="shared" si="1"/>
        <v>0</v>
      </c>
      <c r="AD61" s="135"/>
      <c r="AE61" s="130"/>
    </row>
    <row r="62" spans="1:33" s="3" customFormat="1" ht="14.1" customHeight="1" x14ac:dyDescent="0.2">
      <c r="A62" s="488" t="s">
        <v>494</v>
      </c>
      <c r="B62" s="488"/>
      <c r="C62" s="488"/>
      <c r="D62" s="488"/>
      <c r="E62" s="488"/>
      <c r="F62" s="488"/>
      <c r="G62" s="200">
        <v>51</v>
      </c>
      <c r="H62" s="129"/>
      <c r="I62" s="201">
        <f t="shared" ref="I62:W62" si="12">SUM(I42:I61)</f>
        <v>0</v>
      </c>
      <c r="J62" s="201">
        <f t="shared" si="12"/>
        <v>0</v>
      </c>
      <c r="K62" s="201">
        <f t="shared" si="12"/>
        <v>0</v>
      </c>
      <c r="L62" s="201">
        <f t="shared" si="12"/>
        <v>0</v>
      </c>
      <c r="M62" s="201">
        <f t="shared" si="12"/>
        <v>0</v>
      </c>
      <c r="N62" s="201">
        <f t="shared" si="12"/>
        <v>0</v>
      </c>
      <c r="O62" s="201">
        <f t="shared" si="12"/>
        <v>0</v>
      </c>
      <c r="P62" s="201">
        <f t="shared" si="12"/>
        <v>0</v>
      </c>
      <c r="Q62" s="201">
        <f t="shared" si="12"/>
        <v>0</v>
      </c>
      <c r="R62" s="201">
        <f t="shared" si="12"/>
        <v>0</v>
      </c>
      <c r="S62" s="201">
        <f t="shared" si="12"/>
        <v>0</v>
      </c>
      <c r="T62" s="201">
        <f>SUM(T42:T61)</f>
        <v>0</v>
      </c>
      <c r="U62" s="201">
        <f>SUM(U42:U61)</f>
        <v>0</v>
      </c>
      <c r="V62" s="201">
        <f t="shared" si="12"/>
        <v>0</v>
      </c>
      <c r="W62" s="201">
        <f t="shared" si="12"/>
        <v>0</v>
      </c>
      <c r="X62" s="201">
        <f t="shared" si="10"/>
        <v>0</v>
      </c>
      <c r="Y62" s="201">
        <f>SUM(Y42:Y61)</f>
        <v>0</v>
      </c>
      <c r="Z62" s="201">
        <f t="shared" si="1"/>
        <v>0</v>
      </c>
      <c r="AD62" s="135"/>
      <c r="AE62" s="130"/>
    </row>
    <row r="63" spans="1:33" s="3" customFormat="1" ht="15.95" customHeight="1" x14ac:dyDescent="0.2">
      <c r="A63" s="481" t="s">
        <v>143</v>
      </c>
      <c r="B63" s="482"/>
      <c r="C63" s="482"/>
      <c r="D63" s="482"/>
      <c r="E63" s="482"/>
      <c r="F63" s="482"/>
      <c r="G63" s="482"/>
      <c r="H63" s="482"/>
      <c r="I63" s="482"/>
      <c r="J63" s="482"/>
      <c r="K63" s="482"/>
      <c r="L63" s="482"/>
      <c r="M63" s="482"/>
      <c r="N63" s="482"/>
      <c r="O63" s="482"/>
      <c r="P63" s="482"/>
      <c r="Q63" s="482"/>
      <c r="R63" s="482"/>
      <c r="S63" s="482"/>
      <c r="T63" s="482"/>
      <c r="U63" s="482"/>
      <c r="V63" s="482"/>
      <c r="W63" s="482"/>
      <c r="X63" s="482"/>
      <c r="Y63" s="482"/>
      <c r="Z63" s="482"/>
      <c r="AD63" s="134"/>
      <c r="AE63" s="135"/>
      <c r="AF63" s="134"/>
      <c r="AG63" s="135"/>
    </row>
    <row r="64" spans="1:33" ht="24" customHeight="1" x14ac:dyDescent="0.2">
      <c r="A64" s="489" t="s">
        <v>495</v>
      </c>
      <c r="B64" s="489"/>
      <c r="C64" s="489"/>
      <c r="D64" s="489"/>
      <c r="E64" s="489"/>
      <c r="F64" s="489"/>
      <c r="G64" s="199">
        <v>52</v>
      </c>
      <c r="H64" s="128"/>
      <c r="I64" s="202">
        <f t="shared" ref="I64:O64" si="13">SUM(I44:I52)*$AC$7</f>
        <v>0</v>
      </c>
      <c r="J64" s="202">
        <f t="shared" si="13"/>
        <v>0</v>
      </c>
      <c r="K64" s="202">
        <f t="shared" si="13"/>
        <v>0</v>
      </c>
      <c r="L64" s="202">
        <f t="shared" si="13"/>
        <v>0</v>
      </c>
      <c r="M64" s="202">
        <f t="shared" si="13"/>
        <v>0</v>
      </c>
      <c r="N64" s="202">
        <f t="shared" si="13"/>
        <v>0</v>
      </c>
      <c r="O64" s="202">
        <f t="shared" si="13"/>
        <v>0</v>
      </c>
      <c r="P64" s="202">
        <f>SUM(P44:P52)*$AC$7</f>
        <v>0</v>
      </c>
      <c r="Q64" s="202">
        <f t="shared" ref="Q64:Z64" si="14">SUM(Q44:Q52)*$AC$7</f>
        <v>0</v>
      </c>
      <c r="R64" s="202">
        <f t="shared" si="14"/>
        <v>0</v>
      </c>
      <c r="S64" s="202">
        <f t="shared" si="14"/>
        <v>0</v>
      </c>
      <c r="T64" s="202">
        <f>SUM(T44:T52)*$AC$7</f>
        <v>0</v>
      </c>
      <c r="U64" s="202">
        <f>SUM(U44:U52)*$AC$7</f>
        <v>0</v>
      </c>
      <c r="V64" s="202">
        <f t="shared" si="14"/>
        <v>0</v>
      </c>
      <c r="W64" s="202">
        <f t="shared" si="14"/>
        <v>0</v>
      </c>
      <c r="X64" s="202">
        <f t="shared" si="14"/>
        <v>0</v>
      </c>
      <c r="Y64" s="202">
        <f t="shared" si="14"/>
        <v>0</v>
      </c>
      <c r="Z64" s="202">
        <f t="shared" si="14"/>
        <v>0</v>
      </c>
      <c r="AD64" s="135"/>
    </row>
    <row r="65" spans="1:30" ht="24" customHeight="1" x14ac:dyDescent="0.2">
      <c r="A65" s="489" t="s">
        <v>496</v>
      </c>
      <c r="B65" s="489"/>
      <c r="C65" s="489"/>
      <c r="D65" s="489"/>
      <c r="E65" s="489"/>
      <c r="F65" s="489"/>
      <c r="G65" s="199">
        <v>53</v>
      </c>
      <c r="H65" s="128"/>
      <c r="I65" s="202">
        <f t="shared" ref="I65:O65" si="15">(I43+I64)*$AC$7</f>
        <v>0</v>
      </c>
      <c r="J65" s="202">
        <f t="shared" si="15"/>
        <v>0</v>
      </c>
      <c r="K65" s="202">
        <f t="shared" si="15"/>
        <v>0</v>
      </c>
      <c r="L65" s="202">
        <f t="shared" si="15"/>
        <v>0</v>
      </c>
      <c r="M65" s="202">
        <f t="shared" si="15"/>
        <v>0</v>
      </c>
      <c r="N65" s="202">
        <f t="shared" si="15"/>
        <v>0</v>
      </c>
      <c r="O65" s="202">
        <f t="shared" si="15"/>
        <v>0</v>
      </c>
      <c r="P65" s="202">
        <f t="shared" ref="P65:Z65" si="16">(P43+P64)*$AC$7</f>
        <v>0</v>
      </c>
      <c r="Q65" s="202">
        <f t="shared" si="16"/>
        <v>0</v>
      </c>
      <c r="R65" s="202">
        <f t="shared" si="16"/>
        <v>0</v>
      </c>
      <c r="S65" s="202">
        <f t="shared" si="16"/>
        <v>0</v>
      </c>
      <c r="T65" s="202">
        <f>(T43+T64)*$AC$7</f>
        <v>0</v>
      </c>
      <c r="U65" s="202">
        <f>(U43+U64)*$AC$7</f>
        <v>0</v>
      </c>
      <c r="V65" s="202">
        <f t="shared" si="16"/>
        <v>0</v>
      </c>
      <c r="W65" s="202">
        <f t="shared" si="16"/>
        <v>0</v>
      </c>
      <c r="X65" s="202">
        <f t="shared" si="16"/>
        <v>0</v>
      </c>
      <c r="Y65" s="202">
        <f t="shared" si="16"/>
        <v>0</v>
      </c>
      <c r="Z65" s="202">
        <f t="shared" si="16"/>
        <v>0</v>
      </c>
      <c r="AD65" s="135"/>
    </row>
    <row r="66" spans="1:30" ht="24" customHeight="1" x14ac:dyDescent="0.2">
      <c r="A66" s="490" t="s">
        <v>497</v>
      </c>
      <c r="B66" s="490"/>
      <c r="C66" s="490"/>
      <c r="D66" s="490"/>
      <c r="E66" s="490"/>
      <c r="F66" s="490"/>
      <c r="G66" s="200">
        <v>54</v>
      </c>
      <c r="H66" s="129"/>
      <c r="I66" s="201">
        <f t="shared" ref="I66:O66" si="17">SUM(I53:I61)*$AC$7</f>
        <v>0</v>
      </c>
      <c r="J66" s="201">
        <f t="shared" si="17"/>
        <v>0</v>
      </c>
      <c r="K66" s="201">
        <f t="shared" si="17"/>
        <v>0</v>
      </c>
      <c r="L66" s="201">
        <f t="shared" si="17"/>
        <v>0</v>
      </c>
      <c r="M66" s="201">
        <f t="shared" si="17"/>
        <v>0</v>
      </c>
      <c r="N66" s="201">
        <f t="shared" si="17"/>
        <v>0</v>
      </c>
      <c r="O66" s="201">
        <f t="shared" si="17"/>
        <v>0</v>
      </c>
      <c r="P66" s="201">
        <f t="shared" ref="P66:Z66" si="18">SUM(P53:P61)*$AC$7</f>
        <v>0</v>
      </c>
      <c r="Q66" s="201">
        <f t="shared" si="18"/>
        <v>0</v>
      </c>
      <c r="R66" s="201">
        <f t="shared" si="18"/>
        <v>0</v>
      </c>
      <c r="S66" s="201">
        <f t="shared" si="18"/>
        <v>0</v>
      </c>
      <c r="T66" s="201">
        <f>SUM(T53:T61)*$AC$7</f>
        <v>0</v>
      </c>
      <c r="U66" s="201">
        <f>SUM(U53:U61)*$AC$7</f>
        <v>0</v>
      </c>
      <c r="V66" s="201">
        <f t="shared" si="18"/>
        <v>0</v>
      </c>
      <c r="W66" s="201">
        <f t="shared" si="18"/>
        <v>0</v>
      </c>
      <c r="X66" s="201">
        <f t="shared" si="18"/>
        <v>0</v>
      </c>
      <c r="Y66" s="201">
        <f t="shared" si="18"/>
        <v>0</v>
      </c>
      <c r="Z66" s="201">
        <f t="shared" si="18"/>
        <v>0</v>
      </c>
      <c r="AD66" s="135"/>
    </row>
    <row r="67" spans="1:30" ht="5.0999999999999996" customHeight="1" x14ac:dyDescent="0.2"/>
    <row r="68" spans="1:30" ht="12.75" hidden="1" customHeight="1" x14ac:dyDescent="0.2"/>
    <row r="69" spans="1:30" ht="12.75" hidden="1" customHeight="1" x14ac:dyDescent="0.2"/>
    <row r="70" spans="1:30" ht="12.75" hidden="1" customHeight="1" x14ac:dyDescent="0.2"/>
    <row r="71" spans="1:30" ht="12.75" hidden="1" customHeight="1" x14ac:dyDescent="0.2"/>
    <row r="72" spans="1:30" ht="12.75" hidden="1" customHeight="1" x14ac:dyDescent="0.2"/>
    <row r="87" ht="24.95" hidden="1" customHeight="1" x14ac:dyDescent="0.2"/>
  </sheetData>
  <sheetProtection password="C79A" sheet="1" objects="1" scenarios="1"/>
  <mergeCells count="72">
    <mergeCell ref="A58:F58"/>
    <mergeCell ref="A57:F57"/>
    <mergeCell ref="A66:F66"/>
    <mergeCell ref="A61:F61"/>
    <mergeCell ref="A62:F62"/>
    <mergeCell ref="A64:F64"/>
    <mergeCell ref="A65:F65"/>
    <mergeCell ref="A63:Z63"/>
    <mergeCell ref="A59:F59"/>
    <mergeCell ref="A60:F60"/>
    <mergeCell ref="A48:F48"/>
    <mergeCell ref="A49:F49"/>
    <mergeCell ref="A54:F54"/>
    <mergeCell ref="A55:F55"/>
    <mergeCell ref="A50:F50"/>
    <mergeCell ref="A51:F51"/>
    <mergeCell ref="A52:F52"/>
    <mergeCell ref="A53:F53"/>
    <mergeCell ref="A56:F56"/>
    <mergeCell ref="A46:F46"/>
    <mergeCell ref="A47:F47"/>
    <mergeCell ref="A29:F29"/>
    <mergeCell ref="A30:F30"/>
    <mergeCell ref="A35:F35"/>
    <mergeCell ref="A36:F36"/>
    <mergeCell ref="A37:F37"/>
    <mergeCell ref="A39:F39"/>
    <mergeCell ref="A44:F44"/>
    <mergeCell ref="A45:F45"/>
    <mergeCell ref="A26:F26"/>
    <mergeCell ref="A27:F27"/>
    <mergeCell ref="A24:F24"/>
    <mergeCell ref="A25:F25"/>
    <mergeCell ref="A28:F28"/>
    <mergeCell ref="A43:F43"/>
    <mergeCell ref="A31:F31"/>
    <mergeCell ref="A32:F32"/>
    <mergeCell ref="A33:F33"/>
    <mergeCell ref="A41:F41"/>
    <mergeCell ref="A42:F42"/>
    <mergeCell ref="A34:Z34"/>
    <mergeCell ref="A38:Z38"/>
    <mergeCell ref="A40:F40"/>
    <mergeCell ref="A3:H3"/>
    <mergeCell ref="A22:F22"/>
    <mergeCell ref="A16:F16"/>
    <mergeCell ref="A17:F17"/>
    <mergeCell ref="A8:F8"/>
    <mergeCell ref="A15:F15"/>
    <mergeCell ref="A13:F13"/>
    <mergeCell ref="A14:F14"/>
    <mergeCell ref="A23:F23"/>
    <mergeCell ref="A18:F18"/>
    <mergeCell ref="A19:F19"/>
    <mergeCell ref="A20:F20"/>
    <mergeCell ref="A21:F21"/>
    <mergeCell ref="A11:F11"/>
    <mergeCell ref="A12:F12"/>
    <mergeCell ref="I6:X6"/>
    <mergeCell ref="Y6:Y7"/>
    <mergeCell ref="A10:F10"/>
    <mergeCell ref="A6:F7"/>
    <mergeCell ref="Q2:Y2"/>
    <mergeCell ref="Q3:Y3"/>
    <mergeCell ref="A9:Z9"/>
    <mergeCell ref="A5:Z5"/>
    <mergeCell ref="G6:G7"/>
    <mergeCell ref="H6:H7"/>
    <mergeCell ref="Z2:Z3"/>
    <mergeCell ref="P2:P3"/>
    <mergeCell ref="A2:H2"/>
    <mergeCell ref="Z6:Z7"/>
  </mergeCells>
  <phoneticPr fontId="3" type="noConversion"/>
  <conditionalFormatting sqref="I10:Z33 I35:Z37 I39:Z62 I64:Z66">
    <cfRule type="cellIs" dxfId="2" priority="1" stopIfTrue="1" operator="notEqual">
      <formula>ROUND(I10,0)</formula>
    </cfRule>
  </conditionalFormatting>
  <dataValidations count="2">
    <dataValidation type="whole" operator="notEqual" allowBlank="1" showInputMessage="1" showErrorMessage="1" errorTitle="Nedopušten upis" error="Dopušten je upis samo cjelobrojnih zaokruženih vrijednosti (pozitivnih ili negativnih) te nule." sqref="I10:Z33 I35:Z37 I39:Z62 I64:Z66">
      <formula1>9999999999</formula1>
    </dataValidation>
    <dataValidation type="whole" operator="greaterThanOrEqual" allowBlank="1" showInputMessage="1" showErrorMessage="1" errorTitle="Pogrešan unos" error="Mogu se unijeti samo cjelobrojne pozitivne vrijednosti." sqref="Q9:Y9">
      <formula1>0</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31496062992125984" bottom="0.31496062992125984" header="0.19685039370078741" footer="0.19685039370078741"/>
  <pageSetup paperSize="9" scale="75" fitToWidth="2" fitToHeight="2" orientation="landscape" horizontalDpi="1200" verticalDpi="1200" r:id="rId1"/>
  <headerFooter alignWithMargins="0"/>
  <rowBreaks count="1" manualBreakCount="1">
    <brk id="37"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Skriveni</vt:lpstr>
      <vt:lpstr>Naslovna</vt:lpstr>
      <vt:lpstr>RefStr</vt:lpstr>
      <vt:lpstr>Bilanca</vt:lpstr>
      <vt:lpstr>RDG</vt:lpstr>
      <vt:lpstr>Dodatni</vt:lpstr>
      <vt:lpstr>NT_I</vt:lpstr>
      <vt:lpstr>NT_D</vt:lpstr>
      <vt:lpstr>PK</vt:lpstr>
      <vt:lpstr>Kont</vt:lpstr>
      <vt:lpstr>Bilanca!OLE_LINK3</vt:lpstr>
      <vt:lpstr>Bilanca!Print_Area</vt:lpstr>
      <vt:lpstr>Dodatni!Print_Area</vt:lpstr>
      <vt:lpstr>Kont!Print_Area</vt:lpstr>
      <vt:lpstr>Naslovna!Print_Area</vt:lpstr>
      <vt:lpstr>NT_D!Print_Area</vt:lpstr>
      <vt:lpstr>NT_I!Print_Area</vt:lpstr>
      <vt:lpstr>PK!Print_Area</vt:lpstr>
      <vt:lpstr>RDG!Print_Area</vt:lpstr>
      <vt:lpstr>RefStr!Print_Area</vt:lpstr>
      <vt:lpstr>Bilanca!Print_Titles</vt:lpstr>
      <vt:lpstr>Dodatni!Print_Titles</vt:lpstr>
      <vt:lpstr>Kont!Print_Titles</vt:lpstr>
      <vt:lpstr>PK!Print_Titles</vt:lpstr>
      <vt:lpstr>RDG!Print_Titles</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 - Centar za registre</dc:creator>
  <cp:lastModifiedBy>Vidić Sanjin</cp:lastModifiedBy>
  <cp:lastPrinted>2022-04-22T08:11:45Z</cp:lastPrinted>
  <dcterms:created xsi:type="dcterms:W3CDTF">2008-10-17T11:51:54Z</dcterms:created>
  <dcterms:modified xsi:type="dcterms:W3CDTF">2023-06-14T13:38:21Z</dcterms:modified>
</cp:coreProperties>
</file>